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22800" yWindow="-45" windowWidth="15195" windowHeight="7935"/>
  </bookViews>
  <sheets>
    <sheet name="Hypothèses" sheetId="1" r:id="rId1"/>
    <sheet name="Tresorerie autoconsomat" sheetId="3" r:id="rId2"/>
    <sheet name="Calcul intérêts " sheetId="2" r:id="rId3"/>
    <sheet name="Actualisation" sheetId="7" r:id="rId4"/>
  </sheets>
  <definedNames>
    <definedName name="assurances">Hypothèses!$C$19</definedName>
    <definedName name="autoconso">Hypothèses!$C$7</definedName>
    <definedName name="autofinacement">Hypothèses!$C$16</definedName>
    <definedName name="coutderevientkwh">Hypothèses!$F$22</definedName>
    <definedName name="coutderevientkwhautoconsomme30ans">'Tresorerie autoconsomat'!#REF!</definedName>
    <definedName name="coutderevientkwhreseau30ans">'Tresorerie autoconsomat'!$L$35</definedName>
    <definedName name="coutganratieonduleur">Hypothèses!$F$7</definedName>
    <definedName name="coutinstallation">Hypothèses!$F$5</definedName>
    <definedName name="coutkwc">Hypothèses!$C$14</definedName>
    <definedName name="coutraccordement">Hypothèses!$F$8</definedName>
    <definedName name="couttotal">Hypothèses!$F$15</definedName>
    <definedName name="couttotalkwhautoconsomme">'Tresorerie autoconsomat'!$O$35</definedName>
    <definedName name="dureepret">Hypothèses!$C$18</definedName>
    <definedName name="economieCSPE">'Tresorerie autoconsomat'!$M$35</definedName>
    <definedName name="economieTCFE">Hypothèses!$B$34:$B$35</definedName>
    <definedName name="fluxdetresorerie">Hypothèses!$F$23</definedName>
    <definedName name="garantieonduleur">Hypothèses!$C$15</definedName>
    <definedName name="inflation">Hypothèses!$C$23</definedName>
    <definedName name="inflationelec">Hypothèses!$C$10</definedName>
    <definedName name="interet">Hypothèses!$C$17</definedName>
    <definedName name="kwhreseau">Hypothèses!$C$9</definedName>
    <definedName name="locationcompteur">Hypothèses!$G$16</definedName>
    <definedName name="maintenance">Hypothèses!$C$20</definedName>
    <definedName name="mensualité">'Calcul intérêts '!$C$5</definedName>
    <definedName name="montantassurance">Hypothèses!$F$11</definedName>
    <definedName name="montantassurance30ans">Hypothèses!$F$11</definedName>
    <definedName name="montantinteret">Hypothèses!$F$12</definedName>
    <definedName name="montantmaintenance">Hypothèses!$F$13</definedName>
    <definedName name="montantsubventiongenerateur">Hypothèses!$F$9</definedName>
    <definedName name="OverTime">35</definedName>
    <definedName name="production">Hypothèses!$C$6</definedName>
    <definedName name="productionautoconsomme">Hypothèses!$F$17</definedName>
    <definedName name="productionvalorisable">Hypothèses!$F$16</definedName>
    <definedName name="productionvendue">Hypothèses!$F$18</definedName>
    <definedName name="Puissance">Hypothèses!$C$5</definedName>
    <definedName name="recetteventesurplus">Hypothèses!$F$19</definedName>
    <definedName name="stockage">Hypothèses!$C$8</definedName>
    <definedName name="tarifachat">Hypothèses!$C$13</definedName>
    <definedName name="Taux">'Calcul intérêts '!$C$3</definedName>
    <definedName name="totalammortissement">'Tresorerie autoconsomat'!#REF!</definedName>
    <definedName name="totalannualités">'Tresorerie autoconsomat'!$J$35</definedName>
    <definedName name="totalassurance">'Tresorerie autoconsomat'!$H$35</definedName>
    <definedName name="totalfluxdetresorerie">'Tresorerie autoconsomat'!$R$35</definedName>
    <definedName name="totalfrais">'Tresorerie autoconsomat'!$K$35</definedName>
    <definedName name="totalinvestissementavecsub">Hypothèses!$F$10</definedName>
    <definedName name="totalmaintenance">'Tresorerie autoconsomat'!$I$35</definedName>
    <definedName name="totalproduction">'Tresorerie autoconsomat'!$E$35</definedName>
    <definedName name="totalproductionautoconsomme">'Tresorerie autoconsomat'!$F$35</definedName>
    <definedName name="totalproductionvendue">'Tresorerie autoconsomat'!$G$35</definedName>
    <definedName name="totalventesurplus">'Tresorerie autoconsomat'!$Q$35</definedName>
    <definedName name="tt">1.196*6.55957</definedName>
    <definedName name="unité">1</definedName>
    <definedName name="vente">Hypothèses!$C$12</definedName>
  </definedNames>
  <calcPr calcId="162913"/>
</workbook>
</file>

<file path=xl/calcChain.xml><?xml version="1.0" encoding="utf-8"?>
<calcChain xmlns="http://schemas.openxmlformats.org/spreadsheetml/2006/main">
  <c r="F5" i="1" l="1"/>
  <c r="B3" i="7" l="1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4" i="7"/>
  <c r="L3" i="3" l="1"/>
  <c r="I5" i="3"/>
  <c r="C3" i="2"/>
  <c r="C4" i="2"/>
  <c r="P5" i="3"/>
  <c r="P6" i="3" s="1"/>
  <c r="P7" i="3" s="1"/>
  <c r="P8" i="3" s="1"/>
  <c r="P3" i="3"/>
  <c r="I3" i="3"/>
  <c r="H3" i="3"/>
  <c r="F3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C6" i="3" l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5" i="3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L5" i="3"/>
  <c r="P9" i="3"/>
  <c r="E5" i="3"/>
  <c r="L6" i="3" l="1"/>
  <c r="I35" i="3"/>
  <c r="F13" i="1" s="1"/>
  <c r="E6" i="3"/>
  <c r="F5" i="3"/>
  <c r="P10" i="3"/>
  <c r="N5" i="3" l="1"/>
  <c r="M5" i="3"/>
  <c r="L7" i="3"/>
  <c r="G5" i="3"/>
  <c r="Q5" i="3" s="1"/>
  <c r="E7" i="3"/>
  <c r="F6" i="3"/>
  <c r="P11" i="3"/>
  <c r="M6" i="3" l="1"/>
  <c r="N6" i="3"/>
  <c r="L8" i="3"/>
  <c r="L9" i="3" s="1"/>
  <c r="G6" i="3"/>
  <c r="Q6" i="3" s="1"/>
  <c r="P12" i="3"/>
  <c r="F7" i="3"/>
  <c r="E8" i="3"/>
  <c r="M7" i="3" l="1"/>
  <c r="N7" i="3"/>
  <c r="G7" i="3"/>
  <c r="Q7" i="3" s="1"/>
  <c r="L10" i="3"/>
  <c r="P13" i="3"/>
  <c r="F8" i="3"/>
  <c r="G8" i="3" s="1"/>
  <c r="Q8" i="3" s="1"/>
  <c r="E9" i="3"/>
  <c r="M8" i="3" l="1"/>
  <c r="N8" i="3"/>
  <c r="L11" i="3"/>
  <c r="E10" i="3"/>
  <c r="F9" i="3"/>
  <c r="P14" i="3"/>
  <c r="M9" i="3" l="1"/>
  <c r="N9" i="3"/>
  <c r="G9" i="3"/>
  <c r="Q9" i="3" s="1"/>
  <c r="L12" i="3"/>
  <c r="P15" i="3"/>
  <c r="E11" i="3"/>
  <c r="F10" i="3"/>
  <c r="M10" i="3" l="1"/>
  <c r="N10" i="3"/>
  <c r="L13" i="3"/>
  <c r="G10" i="3"/>
  <c r="Q10" i="3" s="1"/>
  <c r="F11" i="3"/>
  <c r="E12" i="3"/>
  <c r="P16" i="3"/>
  <c r="M11" i="3" l="1"/>
  <c r="N11" i="3"/>
  <c r="L14" i="3"/>
  <c r="G11" i="3"/>
  <c r="Q11" i="3" s="1"/>
  <c r="P17" i="3"/>
  <c r="F12" i="3"/>
  <c r="E13" i="3"/>
  <c r="M12" i="3" l="1"/>
  <c r="N12" i="3"/>
  <c r="L15" i="3"/>
  <c r="P18" i="3"/>
  <c r="F13" i="3"/>
  <c r="E14" i="3"/>
  <c r="G12" i="3"/>
  <c r="Q12" i="3" s="1"/>
  <c r="M13" i="3" l="1"/>
  <c r="N13" i="3"/>
  <c r="L16" i="3"/>
  <c r="G13" i="3"/>
  <c r="Q13" i="3" s="1"/>
  <c r="P19" i="3"/>
  <c r="F14" i="3"/>
  <c r="E15" i="3"/>
  <c r="M14" i="3" l="1"/>
  <c r="N14" i="3"/>
  <c r="L17" i="3"/>
  <c r="G14" i="3"/>
  <c r="Q14" i="3" s="1"/>
  <c r="P20" i="3"/>
  <c r="P21" i="3" s="1"/>
  <c r="F15" i="3"/>
  <c r="E16" i="3"/>
  <c r="M15" i="3" l="1"/>
  <c r="N15" i="3"/>
  <c r="P22" i="3"/>
  <c r="L18" i="3"/>
  <c r="G15" i="3"/>
  <c r="Q15" i="3" s="1"/>
  <c r="F16" i="3"/>
  <c r="E17" i="3"/>
  <c r="M16" i="3" l="1"/>
  <c r="N16" i="3"/>
  <c r="P23" i="3"/>
  <c r="L19" i="3"/>
  <c r="G16" i="3"/>
  <c r="Q16" i="3" s="1"/>
  <c r="E18" i="3"/>
  <c r="F17" i="3"/>
  <c r="M17" i="3" l="1"/>
  <c r="N17" i="3"/>
  <c r="P24" i="3"/>
  <c r="L20" i="3"/>
  <c r="E19" i="3"/>
  <c r="F18" i="3"/>
  <c r="G17" i="3"/>
  <c r="Q17" i="3" s="1"/>
  <c r="M18" i="3" l="1"/>
  <c r="N18" i="3"/>
  <c r="L21" i="3"/>
  <c r="G18" i="3"/>
  <c r="Q18" i="3" s="1"/>
  <c r="F19" i="3"/>
  <c r="E20" i="3"/>
  <c r="P35" i="3"/>
  <c r="M19" i="3" l="1"/>
  <c r="N19" i="3"/>
  <c r="L22" i="3"/>
  <c r="G19" i="3"/>
  <c r="Q19" i="3" s="1"/>
  <c r="F20" i="3"/>
  <c r="E21" i="3"/>
  <c r="M20" i="3" l="1"/>
  <c r="N20" i="3"/>
  <c r="L23" i="3"/>
  <c r="G20" i="3"/>
  <c r="Q20" i="3" s="1"/>
  <c r="F21" i="3"/>
  <c r="E22" i="3"/>
  <c r="M21" i="3" l="1"/>
  <c r="N21" i="3"/>
  <c r="G21" i="3"/>
  <c r="Q21" i="3" s="1"/>
  <c r="L24" i="3"/>
  <c r="F22" i="3"/>
  <c r="E23" i="3"/>
  <c r="M22" i="3" l="1"/>
  <c r="N22" i="3"/>
  <c r="G22" i="3"/>
  <c r="Q22" i="3" s="1"/>
  <c r="L25" i="3"/>
  <c r="F23" i="3"/>
  <c r="E24" i="3"/>
  <c r="M23" i="3" l="1"/>
  <c r="N23" i="3"/>
  <c r="G23" i="3"/>
  <c r="Q23" i="3" s="1"/>
  <c r="L26" i="3"/>
  <c r="F24" i="3"/>
  <c r="E25" i="3"/>
  <c r="M24" i="3" l="1"/>
  <c r="N24" i="3"/>
  <c r="G24" i="3"/>
  <c r="L27" i="3"/>
  <c r="F25" i="3"/>
  <c r="E26" i="3"/>
  <c r="Q24" i="3" l="1"/>
  <c r="Q35" i="3" s="1"/>
  <c r="M25" i="3"/>
  <c r="N25" i="3"/>
  <c r="L28" i="3"/>
  <c r="F26" i="3"/>
  <c r="E27" i="3"/>
  <c r="F19" i="1" l="1"/>
  <c r="Q3" i="3"/>
  <c r="M26" i="3"/>
  <c r="N26" i="3"/>
  <c r="L29" i="3"/>
  <c r="F27" i="3"/>
  <c r="E28" i="3"/>
  <c r="M27" i="3" l="1"/>
  <c r="N27" i="3"/>
  <c r="L30" i="3"/>
  <c r="E29" i="3"/>
  <c r="F28" i="3"/>
  <c r="M28" i="3" l="1"/>
  <c r="N28" i="3"/>
  <c r="L31" i="3"/>
  <c r="F29" i="3"/>
  <c r="E30" i="3"/>
  <c r="M29" i="3" l="1"/>
  <c r="N29" i="3"/>
  <c r="L32" i="3"/>
  <c r="F30" i="3"/>
  <c r="E31" i="3"/>
  <c r="M30" i="3" l="1"/>
  <c r="N30" i="3"/>
  <c r="L33" i="3"/>
  <c r="E32" i="3"/>
  <c r="F31" i="3"/>
  <c r="M31" i="3" l="1"/>
  <c r="N31" i="3"/>
  <c r="L34" i="3"/>
  <c r="F32" i="3"/>
  <c r="E33" i="3"/>
  <c r="M32" i="3" l="1"/>
  <c r="N32" i="3"/>
  <c r="L35" i="3"/>
  <c r="F33" i="3"/>
  <c r="E34" i="3"/>
  <c r="M33" i="3" l="1"/>
  <c r="N33" i="3"/>
  <c r="F34" i="3"/>
  <c r="E35" i="3"/>
  <c r="F16" i="1" s="1"/>
  <c r="M34" i="3" l="1"/>
  <c r="M35" i="3" s="1"/>
  <c r="N34" i="3"/>
  <c r="N35" i="3" s="1"/>
  <c r="F21" i="1" s="1"/>
  <c r="G35" i="3"/>
  <c r="F18" i="1" s="1"/>
  <c r="F35" i="3"/>
  <c r="F17" i="1" s="1"/>
  <c r="F20" i="1" l="1"/>
  <c r="F7" i="1"/>
  <c r="F10" i="1" s="1"/>
  <c r="R4" i="3" s="1"/>
  <c r="H5" i="3"/>
  <c r="H6" i="3" l="1"/>
  <c r="C2" i="2"/>
  <c r="C5" i="2" l="1"/>
  <c r="C7" i="2"/>
  <c r="H7" i="3"/>
  <c r="H8" i="3" l="1"/>
  <c r="C8" i="2"/>
  <c r="C10" i="2" s="1"/>
  <c r="C12" i="2"/>
  <c r="J15" i="3" l="1"/>
  <c r="J9" i="3"/>
  <c r="J13" i="3"/>
  <c r="J12" i="3"/>
  <c r="J17" i="3"/>
  <c r="J6" i="3"/>
  <c r="K6" i="3" s="1"/>
  <c r="O6" i="3" s="1"/>
  <c r="J19" i="3"/>
  <c r="J16" i="3"/>
  <c r="J7" i="3"/>
  <c r="K7" i="3" s="1"/>
  <c r="O7" i="3" s="1"/>
  <c r="J10" i="3"/>
  <c r="J14" i="3"/>
  <c r="J18" i="3"/>
  <c r="J8" i="3"/>
  <c r="K8" i="3" s="1"/>
  <c r="O8" i="3" s="1"/>
  <c r="J11" i="3"/>
  <c r="J5" i="3"/>
  <c r="F12" i="1"/>
  <c r="C11" i="2"/>
  <c r="H9" i="3"/>
  <c r="K9" i="3" l="1"/>
  <c r="O9" i="3" s="1"/>
  <c r="H10" i="3"/>
  <c r="J35" i="3"/>
  <c r="J3" i="3" s="1"/>
  <c r="K5" i="3"/>
  <c r="O5" i="3" l="1"/>
  <c r="H11" i="3"/>
  <c r="K10" i="3"/>
  <c r="O10" i="3" s="1"/>
  <c r="H12" i="3" l="1"/>
  <c r="K11" i="3"/>
  <c r="R5" i="3"/>
  <c r="R6" i="3" s="1"/>
  <c r="R7" i="3" s="1"/>
  <c r="R8" i="3" s="1"/>
  <c r="R9" i="3" s="1"/>
  <c r="R10" i="3" s="1"/>
  <c r="K12" i="3" l="1"/>
  <c r="O12" i="3" s="1"/>
  <c r="H13" i="3"/>
  <c r="O11" i="3"/>
  <c r="R11" i="3" s="1"/>
  <c r="R12" i="3" s="1"/>
  <c r="K13" i="3" l="1"/>
  <c r="H14" i="3"/>
  <c r="H15" i="3" l="1"/>
  <c r="K14" i="3"/>
  <c r="O14" i="3" s="1"/>
  <c r="O13" i="3"/>
  <c r="R13" i="3" l="1"/>
  <c r="R14" i="3" s="1"/>
  <c r="H16" i="3"/>
  <c r="K15" i="3"/>
  <c r="O15" i="3" l="1"/>
  <c r="R15" i="3" s="1"/>
  <c r="K16" i="3"/>
  <c r="O16" i="3" s="1"/>
  <c r="H17" i="3"/>
  <c r="K17" i="3" l="1"/>
  <c r="O17" i="3" s="1"/>
  <c r="H18" i="3"/>
  <c r="R16" i="3"/>
  <c r="K18" i="3" l="1"/>
  <c r="O18" i="3" s="1"/>
  <c r="H19" i="3"/>
  <c r="R17" i="3"/>
  <c r="R18" i="3" l="1"/>
  <c r="H20" i="3"/>
  <c r="K19" i="3"/>
  <c r="O19" i="3" s="1"/>
  <c r="R19" i="3" s="1"/>
  <c r="K20" i="3" l="1"/>
  <c r="O20" i="3" s="1"/>
  <c r="R20" i="3" s="1"/>
  <c r="H21" i="3"/>
  <c r="K21" i="3" l="1"/>
  <c r="O21" i="3" s="1"/>
  <c r="R21" i="3" s="1"/>
  <c r="H22" i="3"/>
  <c r="H23" i="3" l="1"/>
  <c r="K22" i="3"/>
  <c r="O22" i="3" s="1"/>
  <c r="R22" i="3" s="1"/>
  <c r="H24" i="3" l="1"/>
  <c r="K23" i="3"/>
  <c r="O23" i="3" s="1"/>
  <c r="R23" i="3" s="1"/>
  <c r="K24" i="3" l="1"/>
  <c r="O24" i="3" s="1"/>
  <c r="R24" i="3" s="1"/>
  <c r="H25" i="3"/>
  <c r="K25" i="3" l="1"/>
  <c r="O25" i="3" s="1"/>
  <c r="R25" i="3" s="1"/>
  <c r="H26" i="3"/>
  <c r="H27" i="3" l="1"/>
  <c r="K26" i="3"/>
  <c r="O26" i="3" s="1"/>
  <c r="R26" i="3" s="1"/>
  <c r="H28" i="3" l="1"/>
  <c r="K27" i="3"/>
  <c r="O27" i="3" s="1"/>
  <c r="R27" i="3" s="1"/>
  <c r="K28" i="3" l="1"/>
  <c r="O28" i="3" s="1"/>
  <c r="R28" i="3" s="1"/>
  <c r="H29" i="3"/>
  <c r="K29" i="3" l="1"/>
  <c r="O29" i="3" s="1"/>
  <c r="R29" i="3" s="1"/>
  <c r="H30" i="3"/>
  <c r="H31" i="3" l="1"/>
  <c r="K30" i="3"/>
  <c r="O30" i="3" s="1"/>
  <c r="R30" i="3" s="1"/>
  <c r="K31" i="3" l="1"/>
  <c r="O31" i="3" s="1"/>
  <c r="R31" i="3" s="1"/>
  <c r="H32" i="3"/>
  <c r="K32" i="3" l="1"/>
  <c r="O32" i="3" s="1"/>
  <c r="R32" i="3" s="1"/>
  <c r="H33" i="3"/>
  <c r="H34" i="3" l="1"/>
  <c r="K33" i="3"/>
  <c r="O33" i="3" s="1"/>
  <c r="R33" i="3" s="1"/>
  <c r="K34" i="3" l="1"/>
  <c r="H35" i="3"/>
  <c r="F11" i="1" s="1"/>
  <c r="F15" i="1" s="1"/>
  <c r="F22" i="1" s="1"/>
  <c r="O34" i="3" l="1"/>
  <c r="K35" i="3"/>
  <c r="O35" i="3" l="1"/>
  <c r="R34" i="3"/>
  <c r="R35" i="3" s="1"/>
  <c r="F24" i="1" s="1"/>
  <c r="F23" i="1" l="1"/>
</calcChain>
</file>

<file path=xl/sharedStrings.xml><?xml version="1.0" encoding="utf-8"?>
<sst xmlns="http://schemas.openxmlformats.org/spreadsheetml/2006/main" count="81" uniqueCount="77">
  <si>
    <t>Cout de l'installation</t>
  </si>
  <si>
    <t>Montant du prêt</t>
  </si>
  <si>
    <t>Taux</t>
  </si>
  <si>
    <t>Nb Mensualité</t>
  </si>
  <si>
    <t>Mensualité</t>
  </si>
  <si>
    <t>Assurance %</t>
  </si>
  <si>
    <t>Assurance Fixe</t>
  </si>
  <si>
    <t>Mensualité+Assurances</t>
  </si>
  <si>
    <t>Frais de dossiers</t>
  </si>
  <si>
    <t>Cout total du crédit</t>
  </si>
  <si>
    <t>Cout du kWc en €</t>
  </si>
  <si>
    <t>Nbre années</t>
  </si>
  <si>
    <t>Production an kWh</t>
  </si>
  <si>
    <t>Mino                   ration</t>
  </si>
  <si>
    <t>Total Inv + Frais</t>
  </si>
  <si>
    <t>Production autoconsommé</t>
  </si>
  <si>
    <t>Raccordement</t>
  </si>
  <si>
    <t>Cout du kWh à l'année N0</t>
  </si>
  <si>
    <t>Inflation du cout de l'électricité / an</t>
  </si>
  <si>
    <t>Total investissement avec subvention</t>
  </si>
  <si>
    <t>Recette vente du kWh surplus sur 20 ans</t>
  </si>
  <si>
    <t>Prix de vente du khw au réseau</t>
  </si>
  <si>
    <t>Autofinancement</t>
  </si>
  <si>
    <t>Production vendue au réseau en kWh sur 20 ans</t>
  </si>
  <si>
    <t>Montant remboursé</t>
  </si>
  <si>
    <t>Extension garantie onduleur</t>
  </si>
  <si>
    <t>Cout de revient du kWh autoconsommé HT lissé sur 30 ans</t>
  </si>
  <si>
    <t>Taux d'intérêt</t>
  </si>
  <si>
    <t>Vente du surplus</t>
  </si>
  <si>
    <t>Taux d'autoconsommation</t>
  </si>
  <si>
    <t>Tarif de vente de l'électricité produite</t>
  </si>
  <si>
    <t>Durée de remboursement</t>
  </si>
  <si>
    <t>Montant de la Subvention générateur</t>
  </si>
  <si>
    <t xml:space="preserve">Montant des intérets </t>
  </si>
  <si>
    <t xml:space="preserve">Assurances </t>
  </si>
  <si>
    <t xml:space="preserve">Maintenance </t>
  </si>
  <si>
    <t>Production valorisable en kWh  (80 %)</t>
  </si>
  <si>
    <t xml:space="preserve">Production autoconsommé en kWh </t>
  </si>
  <si>
    <t>Assurance</t>
  </si>
  <si>
    <t>Cout total sur 30 ans</t>
  </si>
  <si>
    <t>Cout HT du kWh acheté réseau</t>
  </si>
  <si>
    <t>Flux de tresorerie HT cumulé</t>
  </si>
  <si>
    <t>Maintenance
€ par kWc</t>
  </si>
  <si>
    <t>kWh</t>
  </si>
  <si>
    <t>kWc</t>
  </si>
  <si>
    <t>€/an/kWc</t>
  </si>
  <si>
    <t>% Inv/an</t>
  </si>
  <si>
    <t>Puissance installée</t>
  </si>
  <si>
    <t>Capacité de stockage</t>
  </si>
  <si>
    <t>Assurances annuelle</t>
  </si>
  <si>
    <t>Inflation annuelle</t>
  </si>
  <si>
    <t>Remboursement
annuel
&amp; global</t>
  </si>
  <si>
    <t>Total</t>
  </si>
  <si>
    <t>années</t>
  </si>
  <si>
    <t>Production en kWh / kWc</t>
  </si>
  <si>
    <t>Investissement initial</t>
  </si>
  <si>
    <t>Economie réaliseés par rapport à un kWh issu du réseau</t>
  </si>
  <si>
    <t>annualites</t>
  </si>
  <si>
    <t>Taux d'actualisation de l'argent</t>
  </si>
  <si>
    <t>TURPE lié au photovoltaïque</t>
  </si>
  <si>
    <t>22,50 €/MWh</t>
  </si>
  <si>
    <t>Economie réalisée sur la TICFE ( Ex CSPE)</t>
  </si>
  <si>
    <t>Economies réalisée sur la TCFE sur 30 ans</t>
  </si>
  <si>
    <t>Economies réalisée sur la TICFE (ex CSPE) sur 30 ans</t>
  </si>
  <si>
    <t>Economie réalisée sur la TCFE (communale et départementale)</t>
  </si>
  <si>
    <t>xx  €/MWh</t>
  </si>
  <si>
    <t>Vente totale</t>
  </si>
  <si>
    <t>production 
 vendue en surplus au réseau</t>
  </si>
  <si>
    <t>Production totale</t>
  </si>
  <si>
    <t xml:space="preserve">Dispositif de soutien à la filière photovoltaïque  -  Calcul de rentabilité </t>
  </si>
  <si>
    <t>Recette vente du surplus de l'electricité</t>
  </si>
  <si>
    <t>Flux de tresorerie sur 20 ans si vente totale</t>
  </si>
  <si>
    <t>Flux de trésorerie sur 30 ans si autoconsommation avec vente surplus</t>
  </si>
  <si>
    <t>oui</t>
  </si>
  <si>
    <t>non</t>
  </si>
  <si>
    <t>% de l'inves</t>
  </si>
  <si>
    <t>Maintenance annuelle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</si>
</sst>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0.0000%"/>
    <numFmt numFmtId="167" formatCode="mm\-yy"/>
    <numFmt numFmtId="168" formatCode="#,##0.00000"/>
    <numFmt numFmtId="169" formatCode="#,##0.00000\ &quot;€&quot;"/>
    <numFmt numFmtId="170" formatCode="#,##0\ &quot;€&quot;"/>
    <numFmt numFmtId="171" formatCode="#,##0.0000\ &quot;€&quot;"/>
    <numFmt numFmtId="172" formatCode="0.0000"/>
    <numFmt numFmtId="173" formatCode="0.0%"/>
    <numFmt numFmtId="174" formatCode="#,##0&quot;  &quot;"/>
    <numFmt numFmtId="175" formatCode="#,##0.0"/>
    <numFmt numFmtId="176" formatCode="_-* #,##0\ _F_-;\-* #,##0\ _F_-;_-* &quot;-&quot;\ _F_-;_-@_-"/>
    <numFmt numFmtId="177" formatCode="_-* #,##0.00\ [$€-1]_-;\-* #,##0.00\ [$€-1]_-;_-* &quot;-&quot;??\ [$€-1]_-"/>
    <numFmt numFmtId="178" formatCode="d\-mmm\-yy"/>
    <numFmt numFmtId="179" formatCode="&quot;$&quot;#,##0_);[Red]\(&quot;$&quot;#,##0\)"/>
    <numFmt numFmtId="180" formatCode="#,##0\ &quot;DM&quot;;[Red]\-#,##0\ &quot;DM&quot;"/>
    <numFmt numFmtId="181" formatCode="#,##0.00\ &quot;DM&quot;;[Red]\-#,##0.00\ &quot;DM&quot;"/>
    <numFmt numFmtId="182" formatCode="\ @"/>
    <numFmt numFmtId="183" formatCode="\ @*."/>
    <numFmt numFmtId="184" formatCode=";;"/>
    <numFmt numFmtId="185" formatCode="#,##0;\-#,##0;"/>
    <numFmt numFmtId="186" formatCode="#,##0&quot;  marge mensuelle&quot;"/>
    <numFmt numFmtId="187" formatCode="#,##0;;"/>
    <numFmt numFmtId="188" formatCode="&quot;Tél. &quot;00\.00\.00\.00"/>
    <numFmt numFmtId="189" formatCode="dddd\ d\ mmmm\ yyyy"/>
    <numFmt numFmtId="190" formatCode="#,##0,&quot;   KF&quot;"/>
    <numFmt numFmtId="191" formatCode="&quot;Mulhouse, le  &quot;\ dd\ mmmm\ yyyy"/>
    <numFmt numFmtId="192" formatCode="dd\ /\ mm\ /\ yy"/>
    <numFmt numFmtId="193" formatCode="&quot;  &quot;@*."/>
    <numFmt numFmtId="194" formatCode="#,##0;[Red]\-#,##0;;"/>
    <numFmt numFmtId="195" formatCode="#?/\ ?"/>
    <numFmt numFmtId="196" formatCode="#,##0.00\ _F;[Red]\-#,##0.00\ _F;;"/>
    <numFmt numFmtId="197" formatCode="\ \ @"/>
    <numFmt numFmtId="198" formatCode="&quot;édité le :  &quot;dd/mm/yy&quot;  par Jo S&quot;"/>
    <numFmt numFmtId="199" formatCode="#,##0.00&quot; ttc&quot;"/>
    <numFmt numFmtId="200" formatCode="#,##0.00&quot; ht&quot;"/>
    <numFmt numFmtId="201" formatCode="&quot; Jo SCHNEIDER &quot;"/>
    <numFmt numFmtId="202" formatCode="@*."/>
    <numFmt numFmtId="203" formatCode="#,##0.00;\-#,##0.00;\-"/>
    <numFmt numFmtId="204" formatCode="#,##0.00;\-#,##0.00;&quot;&quot;"/>
    <numFmt numFmtId="205" formatCode="_-* #,##0\ [$€-40C]_-;\-* #,##0\ [$€-40C]_-;_-* &quot;-&quot;??\ [$€-40C]_-;_-@_-"/>
    <numFmt numFmtId="206" formatCode="_-* #,##0\ &quot;€&quot;_-;\-* #,##0\ &quot;€&quot;_-;_-* &quot;-&quot;??\ &quot;€&quot;_-;_-@_-"/>
  </numFmts>
  <fonts count="56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6"/>
      <color indexed="8"/>
      <name val="Calibri"/>
      <family val="2"/>
    </font>
    <font>
      <sz val="10"/>
      <color indexed="9"/>
      <name val="Arial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b/>
      <sz val="8"/>
      <color indexed="10"/>
      <name val="Times New Roman"/>
      <family val="1"/>
    </font>
    <font>
      <b/>
      <sz val="9"/>
      <color indexed="10"/>
      <name val="Times New Roman"/>
      <family val="1"/>
    </font>
    <font>
      <b/>
      <sz val="8"/>
      <color indexed="10"/>
      <name val="Arial"/>
      <family val="2"/>
    </font>
    <font>
      <sz val="10"/>
      <name val="Geneva"/>
    </font>
    <font>
      <b/>
      <sz val="8"/>
      <name val="Arial"/>
      <family val="2"/>
    </font>
    <font>
      <b/>
      <sz val="9"/>
      <name val="Times New Roman"/>
      <family val="1"/>
    </font>
    <font>
      <b/>
      <sz val="11"/>
      <color indexed="12"/>
      <name val="Arial"/>
      <family val="2"/>
    </font>
    <font>
      <b/>
      <sz val="10"/>
      <name val="Bookman"/>
    </font>
    <font>
      <b/>
      <sz val="9"/>
      <name val="Times New Roman"/>
      <family val="1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sz val="11"/>
      <color indexed="17"/>
      <name val="Calibri"/>
      <family val="2"/>
    </font>
    <font>
      <sz val="14"/>
      <name val="Times New Roman"/>
      <family val="1"/>
    </font>
    <font>
      <sz val="10"/>
      <color indexed="8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8"/>
      <color indexed="12"/>
      <name val="Times New Roman"/>
      <family val="1"/>
    </font>
    <font>
      <b/>
      <sz val="12"/>
      <name val="Arial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b/>
      <sz val="10"/>
      <name val="Courier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3"/>
      <color indexed="12"/>
      <name val="Times New Roman"/>
      <family val="1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mediumGray">
        <fgColor indexed="9"/>
        <bgColor indexed="22"/>
      </patternFill>
    </fill>
    <fill>
      <patternFill patternType="lightGray">
        <fgColor indexed="9"/>
        <bgColor indexed="13"/>
      </patternFill>
    </fill>
    <fill>
      <patternFill patternType="mediumGray">
        <fgColor indexed="12"/>
        <bgColor indexed="13"/>
      </patternFill>
    </fill>
    <fill>
      <patternFill patternType="lightGray">
        <fgColor indexed="9"/>
        <bgColor indexed="11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24"/>
      </top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10"/>
      </left>
      <right style="dashed">
        <color indexed="10"/>
      </right>
      <top style="dashed">
        <color indexed="10"/>
      </top>
      <bottom style="dashed">
        <color indexed="10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4">
    <xf numFmtId="0" fontId="0" fillId="0" borderId="0"/>
    <xf numFmtId="183" fontId="12" fillId="0" borderId="1">
      <alignment horizontal="left" vertical="center"/>
    </xf>
    <xf numFmtId="10" fontId="13" fillId="0" borderId="0">
      <alignment vertical="center"/>
    </xf>
    <xf numFmtId="4" fontId="13" fillId="0" borderId="0">
      <alignment horizontal="center" vertical="center"/>
    </xf>
    <xf numFmtId="182" fontId="13" fillId="0" borderId="0">
      <alignment vertical="center"/>
    </xf>
    <xf numFmtId="183" fontId="12" fillId="0" borderId="0">
      <alignment horizontal="left" vertical="center"/>
    </xf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5" borderId="0" applyNumberFormat="0" applyBorder="0" applyAlignment="0" applyProtection="0"/>
    <xf numFmtId="0" fontId="15" fillId="2" borderId="0" applyNumberFormat="0" applyBorder="0" applyAlignment="0" applyProtection="0"/>
    <xf numFmtId="3" fontId="16" fillId="0" borderId="0">
      <alignment vertical="center"/>
      <protection locked="0"/>
    </xf>
    <xf numFmtId="193" fontId="16" fillId="13" borderId="0">
      <alignment vertical="center"/>
      <protection locked="0"/>
    </xf>
    <xf numFmtId="3" fontId="17" fillId="14" borderId="2">
      <alignment vertical="center" wrapText="1"/>
    </xf>
    <xf numFmtId="184" fontId="18" fillId="0" borderId="0">
      <alignment horizontal="right" vertical="center"/>
    </xf>
    <xf numFmtId="193" fontId="16" fillId="0" borderId="3">
      <alignment vertical="center"/>
      <protection locked="0"/>
    </xf>
    <xf numFmtId="3" fontId="16" fillId="0" borderId="4">
      <alignment vertical="center"/>
      <protection locked="0"/>
    </xf>
    <xf numFmtId="0" fontId="19" fillId="6" borderId="5" applyNumberFormat="0" applyAlignment="0" applyProtection="0"/>
    <xf numFmtId="204" fontId="9" fillId="15" borderId="6" applyFont="0" applyFill="0" applyBorder="0" applyAlignment="0" applyProtection="0">
      <alignment wrapText="1"/>
    </xf>
    <xf numFmtId="203" fontId="9" fillId="15" borderId="6" applyFont="0" applyFill="0" applyBorder="0" applyAlignment="0" applyProtection="0">
      <alignment wrapText="1"/>
    </xf>
    <xf numFmtId="0" fontId="20" fillId="12" borderId="8" applyNumberFormat="0" applyAlignment="0" applyProtection="0"/>
    <xf numFmtId="174" fontId="13" fillId="0" borderId="0">
      <alignment horizontal="right" vertical="center"/>
    </xf>
    <xf numFmtId="3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2" fillId="0" borderId="0">
      <alignment horizontal="center"/>
    </xf>
    <xf numFmtId="192" fontId="23" fillId="0" borderId="0">
      <alignment vertical="center"/>
      <protection locked="0"/>
    </xf>
    <xf numFmtId="178" fontId="24" fillId="0" borderId="0">
      <alignment horizontal="center"/>
    </xf>
    <xf numFmtId="189" fontId="16" fillId="0" borderId="0">
      <alignment vertical="center"/>
      <protection locked="0"/>
    </xf>
    <xf numFmtId="3" fontId="16" fillId="0" borderId="0">
      <alignment horizontal="right" vertical="center"/>
      <protection locked="0"/>
    </xf>
    <xf numFmtId="40" fontId="25" fillId="0" borderId="0" applyFont="0" applyFill="0" applyBorder="0" applyAlignment="0" applyProtection="0"/>
    <xf numFmtId="198" fontId="26" fillId="0" borderId="0">
      <alignment horizontal="center" vertical="center"/>
    </xf>
    <xf numFmtId="197" fontId="27" fillId="0" borderId="0">
      <alignment vertical="center"/>
    </xf>
    <xf numFmtId="0" fontId="13" fillId="16" borderId="9">
      <alignment horizontal="left" vertical="center"/>
    </xf>
    <xf numFmtId="0" fontId="28" fillId="0" borderId="10">
      <alignment horizontal="center" vertical="center"/>
    </xf>
    <xf numFmtId="197" fontId="27" fillId="0" borderId="0">
      <alignment vertical="center"/>
    </xf>
    <xf numFmtId="197" fontId="27" fillId="0" borderId="0">
      <alignment vertical="center"/>
    </xf>
    <xf numFmtId="185" fontId="16" fillId="0" borderId="0">
      <alignment vertical="center"/>
      <protection locked="0"/>
    </xf>
    <xf numFmtId="0" fontId="29" fillId="0" borderId="11" applyNumberFormat="0">
      <alignment horizontal="center"/>
    </xf>
    <xf numFmtId="194" fontId="30" fillId="13" borderId="0">
      <alignment vertical="center" wrapText="1"/>
    </xf>
    <xf numFmtId="182" fontId="17" fillId="0" borderId="0"/>
    <xf numFmtId="193" fontId="16" fillId="0" borderId="0">
      <alignment vertical="center"/>
      <protection locked="0"/>
    </xf>
    <xf numFmtId="177" fontId="1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16" borderId="12">
      <alignment horizontal="center" vertical="center"/>
    </xf>
    <xf numFmtId="0" fontId="13" fillId="17" borderId="13">
      <alignment horizontal="center" vertical="center"/>
    </xf>
    <xf numFmtId="195" fontId="17" fillId="0" borderId="0">
      <alignment horizontal="center"/>
    </xf>
    <xf numFmtId="0" fontId="33" fillId="3" borderId="0" applyNumberFormat="0" applyBorder="0" applyAlignment="0" applyProtection="0"/>
    <xf numFmtId="0" fontId="34" fillId="0" borderId="0">
      <alignment horizontal="center" vertical="center"/>
      <protection hidden="1"/>
    </xf>
    <xf numFmtId="3" fontId="35" fillId="18" borderId="14">
      <alignment vertical="center" wrapText="1"/>
    </xf>
    <xf numFmtId="3" fontId="17" fillId="19" borderId="0">
      <alignment vertical="center" wrapText="1"/>
    </xf>
    <xf numFmtId="0" fontId="36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5" borderId="5" applyNumberFormat="0" applyAlignment="0" applyProtection="0"/>
    <xf numFmtId="3" fontId="40" fillId="20" borderId="0">
      <alignment horizontal="center"/>
    </xf>
    <xf numFmtId="3" fontId="16" fillId="20" borderId="0">
      <alignment vertical="center"/>
      <protection locked="0"/>
    </xf>
    <xf numFmtId="201" fontId="18" fillId="0" borderId="0">
      <alignment horizontal="left" vertical="center"/>
    </xf>
    <xf numFmtId="3" fontId="17" fillId="13" borderId="0">
      <alignment vertical="center" wrapText="1"/>
    </xf>
    <xf numFmtId="0" fontId="41" fillId="21" borderId="0">
      <alignment horizontal="center" vertical="center" wrapText="1"/>
    </xf>
    <xf numFmtId="190" fontId="16" fillId="0" borderId="0">
      <alignment vertical="center"/>
      <protection locked="0"/>
    </xf>
    <xf numFmtId="0" fontId="42" fillId="0" borderId="7" applyNumberFormat="0" applyFill="0" applyAlignment="0" applyProtection="0"/>
    <xf numFmtId="164" fontId="43" fillId="0" borderId="0" applyFont="0" applyFill="0" applyBorder="0" applyAlignment="0" applyProtection="0"/>
    <xf numFmtId="176" fontId="13" fillId="0" borderId="0">
      <alignment vertical="center"/>
    </xf>
    <xf numFmtId="1" fontId="44" fillId="0" borderId="11"/>
    <xf numFmtId="191" fontId="16" fillId="0" borderId="0">
      <alignment vertical="center"/>
      <protection locked="0"/>
    </xf>
    <xf numFmtId="196" fontId="17" fillId="13" borderId="0">
      <alignment vertical="center" wrapText="1"/>
    </xf>
    <xf numFmtId="0" fontId="45" fillId="10" borderId="0" applyNumberFormat="0" applyBorder="0" applyAlignment="0" applyProtection="0"/>
    <xf numFmtId="3" fontId="16" fillId="0" borderId="17">
      <alignment vertical="center"/>
      <protection locked="0"/>
    </xf>
    <xf numFmtId="0" fontId="46" fillId="0" borderId="0"/>
    <xf numFmtId="0" fontId="13" fillId="7" borderId="18" applyNumberFormat="0" applyFont="0" applyAlignment="0" applyProtection="0"/>
    <xf numFmtId="0" fontId="47" fillId="6" borderId="19" applyNumberFormat="0" applyAlignment="0" applyProtection="0"/>
    <xf numFmtId="0" fontId="16" fillId="0" borderId="0">
      <alignment vertical="center"/>
      <protection locked="0"/>
    </xf>
    <xf numFmtId="9" fontId="2" fillId="0" borderId="0" applyFont="0" applyFill="0" applyBorder="0" applyAlignment="0" applyProtection="0"/>
    <xf numFmtId="200" fontId="13" fillId="0" borderId="0">
      <alignment horizontal="left" vertical="center"/>
    </xf>
    <xf numFmtId="199" fontId="13" fillId="0" borderId="0">
      <alignment horizontal="left" vertical="center"/>
    </xf>
    <xf numFmtId="0" fontId="16" fillId="0" borderId="0">
      <alignment vertical="center"/>
      <protection locked="0"/>
    </xf>
    <xf numFmtId="0" fontId="25" fillId="0" borderId="0"/>
    <xf numFmtId="187" fontId="17" fillId="13" borderId="0">
      <alignment horizontal="right" vertical="center" wrapText="1"/>
    </xf>
    <xf numFmtId="188" fontId="16" fillId="0" borderId="0">
      <alignment vertical="center"/>
      <protection locked="0"/>
    </xf>
    <xf numFmtId="0" fontId="48" fillId="0" borderId="0" applyNumberFormat="0" applyFill="0" applyBorder="0" applyAlignment="0" applyProtection="0"/>
    <xf numFmtId="3" fontId="49" fillId="0" borderId="0">
      <alignment horizontal="center" vertical="center"/>
      <protection locked="0"/>
    </xf>
    <xf numFmtId="186" fontId="16" fillId="0" borderId="11"/>
    <xf numFmtId="0" fontId="16" fillId="0" borderId="0">
      <alignment vertical="center"/>
      <protection hidden="1"/>
    </xf>
    <xf numFmtId="3" fontId="16" fillId="22" borderId="0">
      <alignment vertical="center"/>
      <protection locked="0"/>
    </xf>
    <xf numFmtId="0" fontId="13" fillId="23" borderId="0">
      <alignment horizontal="left" vertical="center"/>
    </xf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55" fillId="0" borderId="0" applyFont="0" applyFill="0" applyBorder="0" applyAlignment="0" applyProtection="0"/>
  </cellStyleXfs>
  <cellXfs count="129">
    <xf numFmtId="0" fontId="0" fillId="0" borderId="0" xfId="0"/>
    <xf numFmtId="4" fontId="0" fillId="0" borderId="0" xfId="0" applyNumberFormat="1"/>
    <xf numFmtId="10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0" applyFont="1"/>
    <xf numFmtId="3" fontId="4" fillId="0" borderId="0" xfId="0" applyNumberFormat="1" applyFont="1"/>
    <xf numFmtId="165" fontId="4" fillId="0" borderId="0" xfId="0" applyNumberFormat="1" applyFont="1"/>
    <xf numFmtId="0" fontId="11" fillId="23" borderId="0" xfId="0" applyFont="1" applyFill="1" applyBorder="1" applyAlignment="1">
      <alignment horizontal="center" vertical="center" wrapText="1"/>
    </xf>
    <xf numFmtId="0" fontId="11" fillId="23" borderId="23" xfId="0" applyFont="1" applyFill="1" applyBorder="1" applyAlignment="1" applyProtection="1">
      <alignment horizontal="center" vertical="center" wrapText="1"/>
      <protection hidden="1"/>
    </xf>
    <xf numFmtId="0" fontId="11" fillId="23" borderId="24" xfId="0" applyFont="1" applyFill="1" applyBorder="1" applyAlignment="1" applyProtection="1">
      <alignment horizontal="center" vertical="center" wrapText="1"/>
      <protection hidden="1"/>
    </xf>
    <xf numFmtId="3" fontId="11" fillId="23" borderId="25" xfId="0" applyNumberFormat="1" applyFont="1" applyFill="1" applyBorder="1" applyAlignment="1">
      <alignment horizontal="center" vertical="center" wrapText="1"/>
    </xf>
    <xf numFmtId="0" fontId="11" fillId="23" borderId="0" xfId="0" applyFont="1" applyFill="1"/>
    <xf numFmtId="174" fontId="11" fillId="23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Alignment="1">
      <alignment horizontal="center"/>
    </xf>
    <xf numFmtId="0" fontId="50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3" fillId="25" borderId="1" xfId="0" applyNumberFormat="1" applyFont="1" applyFill="1" applyBorder="1" applyAlignment="1" applyProtection="1">
      <alignment horizontal="center" vertical="center"/>
      <protection hidden="1"/>
    </xf>
    <xf numFmtId="0" fontId="3" fillId="25" borderId="1" xfId="0" applyNumberFormat="1" applyFont="1" applyFill="1" applyBorder="1" applyAlignment="1" applyProtection="1">
      <alignment horizontal="center" vertical="center"/>
      <protection hidden="1"/>
    </xf>
    <xf numFmtId="3" fontId="4" fillId="25" borderId="1" xfId="0" applyNumberFormat="1" applyFont="1" applyFill="1" applyBorder="1" applyAlignment="1">
      <alignment horizontal="center" vertical="center" wrapText="1"/>
    </xf>
    <xf numFmtId="10" fontId="5" fillId="25" borderId="1" xfId="87" applyNumberFormat="1" applyFont="1" applyFill="1" applyBorder="1" applyAlignment="1" applyProtection="1">
      <alignment horizontal="center" vertical="center"/>
      <protection hidden="1"/>
    </xf>
    <xf numFmtId="10" fontId="5" fillId="25" borderId="9" xfId="87" applyNumberFormat="1" applyFont="1" applyFill="1" applyBorder="1" applyAlignment="1" applyProtection="1">
      <alignment horizontal="center" vertical="center"/>
      <protection hidden="1"/>
    </xf>
    <xf numFmtId="3" fontId="4" fillId="25" borderId="9" xfId="0" applyNumberFormat="1" applyFont="1" applyFill="1" applyBorder="1" applyAlignment="1">
      <alignment horizontal="center" vertical="center" wrapText="1"/>
    </xf>
    <xf numFmtId="170" fontId="4" fillId="27" borderId="1" xfId="0" applyNumberFormat="1" applyFont="1" applyFill="1" applyBorder="1" applyAlignment="1">
      <alignment horizontal="center" vertical="center" wrapText="1"/>
    </xf>
    <xf numFmtId="170" fontId="3" fillId="27" borderId="1" xfId="0" applyNumberFormat="1" applyFont="1" applyFill="1" applyBorder="1" applyAlignment="1">
      <alignment horizontal="center" vertical="center" wrapText="1"/>
    </xf>
    <xf numFmtId="165" fontId="4" fillId="26" borderId="1" xfId="0" applyNumberFormat="1" applyFont="1" applyFill="1" applyBorder="1" applyAlignment="1">
      <alignment horizontal="center" vertical="center" wrapText="1"/>
    </xf>
    <xf numFmtId="169" fontId="4" fillId="28" borderId="1" xfId="0" applyNumberFormat="1" applyFont="1" applyFill="1" applyBorder="1" applyAlignment="1">
      <alignment horizontal="center"/>
    </xf>
    <xf numFmtId="172" fontId="4" fillId="28" borderId="1" xfId="0" applyNumberFormat="1" applyFont="1" applyFill="1" applyBorder="1" applyAlignment="1">
      <alignment horizontal="center"/>
    </xf>
    <xf numFmtId="170" fontId="3" fillId="28" borderId="1" xfId="0" applyNumberFormat="1" applyFont="1" applyFill="1" applyBorder="1" applyAlignment="1">
      <alignment horizontal="center" vertical="center" wrapText="1"/>
    </xf>
    <xf numFmtId="170" fontId="4" fillId="28" borderId="1" xfId="0" applyNumberFormat="1" applyFont="1" applyFill="1" applyBorder="1" applyAlignment="1">
      <alignment horizontal="right" indent="1"/>
    </xf>
    <xf numFmtId="172" fontId="4" fillId="28" borderId="9" xfId="0" applyNumberFormat="1" applyFont="1" applyFill="1" applyBorder="1" applyAlignment="1">
      <alignment horizontal="center"/>
    </xf>
    <xf numFmtId="170" fontId="5" fillId="24" borderId="1" xfId="0" applyNumberFormat="1" applyFont="1" applyFill="1" applyBorder="1" applyAlignment="1">
      <alignment horizontal="center" vertical="center" wrapText="1"/>
    </xf>
    <xf numFmtId="10" fontId="53" fillId="23" borderId="24" xfId="87" applyNumberFormat="1" applyFont="1" applyFill="1" applyBorder="1" applyAlignment="1">
      <alignment horizontal="center" vertical="center" wrapText="1"/>
    </xf>
    <xf numFmtId="170" fontId="53" fillId="23" borderId="25" xfId="0" applyNumberFormat="1" applyFont="1" applyFill="1" applyBorder="1" applyAlignment="1">
      <alignment horizontal="center" vertical="center" wrapText="1"/>
    </xf>
    <xf numFmtId="165" fontId="53" fillId="23" borderId="25" xfId="0" applyNumberFormat="1" applyFont="1" applyFill="1" applyBorder="1" applyAlignment="1">
      <alignment horizontal="center" vertical="center" wrapText="1"/>
    </xf>
    <xf numFmtId="0" fontId="53" fillId="23" borderId="0" xfId="0" applyFont="1" applyFill="1" applyBorder="1" applyAlignment="1">
      <alignment horizontal="center" vertical="center" wrapText="1"/>
    </xf>
    <xf numFmtId="0" fontId="53" fillId="23" borderId="23" xfId="0" applyFont="1" applyFill="1" applyBorder="1" applyAlignment="1">
      <alignment horizontal="center" vertical="center" wrapText="1"/>
    </xf>
    <xf numFmtId="0" fontId="3" fillId="29" borderId="1" xfId="0" applyFont="1" applyFill="1" applyBorder="1" applyAlignment="1">
      <alignment horizontal="center" vertical="center"/>
    </xf>
    <xf numFmtId="0" fontId="3" fillId="29" borderId="9" xfId="0" applyFont="1" applyFill="1" applyBorder="1" applyAlignment="1">
      <alignment horizontal="center" vertical="center"/>
    </xf>
    <xf numFmtId="173" fontId="53" fillId="0" borderId="29" xfId="87" applyNumberFormat="1" applyFont="1" applyFill="1" applyBorder="1" applyAlignment="1">
      <alignment horizontal="center" vertical="center" wrapText="1"/>
    </xf>
    <xf numFmtId="0" fontId="50" fillId="0" borderId="2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54" fillId="0" borderId="20" xfId="0" applyNumberFormat="1" applyFont="1" applyBorder="1" applyAlignment="1">
      <alignment horizontal="center" vertical="center"/>
    </xf>
    <xf numFmtId="174" fontId="54" fillId="0" borderId="30" xfId="0" applyNumberFormat="1" applyFont="1" applyBorder="1" applyAlignment="1">
      <alignment horizontal="center" vertical="center"/>
    </xf>
    <xf numFmtId="170" fontId="54" fillId="0" borderId="20" xfId="0" applyNumberFormat="1" applyFont="1" applyBorder="1" applyAlignment="1">
      <alignment horizontal="center" vertical="center"/>
    </xf>
    <xf numFmtId="170" fontId="54" fillId="0" borderId="22" xfId="0" applyNumberFormat="1" applyFont="1" applyBorder="1" applyAlignment="1">
      <alignment horizontal="center" vertical="center"/>
    </xf>
    <xf numFmtId="171" fontId="54" fillId="0" borderId="20" xfId="0" applyNumberFormat="1" applyFont="1" applyBorder="1" applyAlignment="1">
      <alignment horizontal="center" vertical="center"/>
    </xf>
    <xf numFmtId="0" fontId="3" fillId="30" borderId="21" xfId="0" applyFont="1" applyFill="1" applyBorder="1" applyAlignment="1">
      <alignment horizontal="center" vertical="center" wrapText="1"/>
    </xf>
    <xf numFmtId="0" fontId="3" fillId="30" borderId="20" xfId="0" applyFont="1" applyFill="1" applyBorder="1" applyAlignment="1" applyProtection="1">
      <alignment horizontal="center" vertical="center" wrapText="1"/>
      <protection hidden="1"/>
    </xf>
    <xf numFmtId="3" fontId="3" fillId="30" borderId="20" xfId="0" applyNumberFormat="1" applyFont="1" applyFill="1" applyBorder="1" applyAlignment="1">
      <alignment horizontal="center" vertical="center" wrapText="1"/>
    </xf>
    <xf numFmtId="0" fontId="3" fillId="30" borderId="20" xfId="0" applyFont="1" applyFill="1" applyBorder="1" applyAlignment="1">
      <alignment horizontal="center" vertical="center" wrapText="1"/>
    </xf>
    <xf numFmtId="165" fontId="3" fillId="30" borderId="20" xfId="0" applyNumberFormat="1" applyFont="1" applyFill="1" applyBorder="1" applyAlignment="1">
      <alignment horizontal="center" vertical="center" wrapText="1"/>
    </xf>
    <xf numFmtId="172" fontId="3" fillId="30" borderId="20" xfId="0" applyNumberFormat="1" applyFont="1" applyFill="1" applyBorder="1" applyAlignment="1">
      <alignment horizontal="center" vertical="center" wrapText="1"/>
    </xf>
    <xf numFmtId="0" fontId="3" fillId="30" borderId="22" xfId="0" applyFont="1" applyFill="1" applyBorder="1" applyAlignment="1">
      <alignment horizontal="center" vertical="center" wrapText="1"/>
    </xf>
    <xf numFmtId="170" fontId="53" fillId="23" borderId="24" xfId="0" applyNumberFormat="1" applyFont="1" applyFill="1" applyBorder="1" applyAlignment="1">
      <alignment horizontal="center" vertical="center" wrapText="1"/>
    </xf>
    <xf numFmtId="171" fontId="53" fillId="23" borderId="0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</xf>
    <xf numFmtId="165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vertical="center"/>
    </xf>
    <xf numFmtId="202" fontId="0" fillId="25" borderId="1" xfId="0" applyNumberFormat="1" applyFill="1" applyBorder="1" applyAlignment="1" applyProtection="1">
      <alignment horizontal="left" vertical="center" indent="1"/>
    </xf>
    <xf numFmtId="175" fontId="0" fillId="25" borderId="1" xfId="0" applyNumberFormat="1" applyFill="1" applyBorder="1" applyAlignment="1" applyProtection="1">
      <alignment horizontal="right" vertical="center" indent="1"/>
    </xf>
    <xf numFmtId="0" fontId="0" fillId="0" borderId="0" xfId="0" applyBorder="1" applyAlignment="1" applyProtection="1">
      <alignment horizontal="left" vertical="center" indent="1"/>
    </xf>
    <xf numFmtId="202" fontId="0" fillId="27" borderId="1" xfId="0" applyNumberFormat="1" applyFill="1" applyBorder="1" applyAlignment="1" applyProtection="1">
      <alignment horizontal="left" vertical="center" indent="1"/>
    </xf>
    <xf numFmtId="170" fontId="0" fillId="27" borderId="1" xfId="0" applyNumberFormat="1" applyFill="1" applyBorder="1" applyAlignment="1" applyProtection="1">
      <alignment horizontal="right" vertical="center" indent="1"/>
    </xf>
    <xf numFmtId="9" fontId="52" fillId="25" borderId="1" xfId="87" applyFont="1" applyFill="1" applyBorder="1" applyAlignment="1" applyProtection="1">
      <alignment horizontal="right" vertical="center" indent="1"/>
    </xf>
    <xf numFmtId="9" fontId="0" fillId="0" borderId="0" xfId="0" applyNumberFormat="1" applyAlignment="1" applyProtection="1">
      <alignment vertical="center"/>
    </xf>
    <xf numFmtId="1" fontId="0" fillId="25" borderId="1" xfId="0" applyNumberFormat="1" applyFill="1" applyBorder="1" applyAlignment="1" applyProtection="1">
      <alignment horizontal="right" vertical="center" indent="1"/>
    </xf>
    <xf numFmtId="165" fontId="0" fillId="25" borderId="1" xfId="0" applyNumberFormat="1" applyFill="1" applyBorder="1" applyAlignment="1" applyProtection="1">
      <alignment horizontal="right" vertical="center" indent="1"/>
    </xf>
    <xf numFmtId="170" fontId="0" fillId="0" borderId="0" xfId="0" applyNumberFormat="1" applyFill="1" applyAlignment="1" applyProtection="1">
      <alignment vertical="center"/>
    </xf>
    <xf numFmtId="10" fontId="0" fillId="25" borderId="1" xfId="87" applyNumberFormat="1" applyFont="1" applyFill="1" applyBorder="1" applyAlignment="1" applyProtection="1">
      <alignment horizontal="right" vertical="center" indent="1"/>
    </xf>
    <xf numFmtId="165" fontId="0" fillId="0" borderId="0" xfId="0" applyNumberFormat="1" applyFill="1" applyAlignment="1" applyProtection="1">
      <alignment vertical="center"/>
    </xf>
    <xf numFmtId="202" fontId="0" fillId="25" borderId="1" xfId="0" applyNumberFormat="1" applyFill="1" applyBorder="1" applyAlignment="1" applyProtection="1">
      <alignment horizontal="left" vertical="center" wrapText="1" indent="1"/>
    </xf>
    <xf numFmtId="9" fontId="0" fillId="25" borderId="1" xfId="0" applyNumberFormat="1" applyFill="1" applyBorder="1" applyAlignment="1" applyProtection="1">
      <alignment horizontal="right" vertical="center" indent="1"/>
    </xf>
    <xf numFmtId="10" fontId="0" fillId="0" borderId="0" xfId="0" applyNumberFormat="1" applyFill="1" applyAlignment="1" applyProtection="1">
      <alignment vertical="center"/>
    </xf>
    <xf numFmtId="171" fontId="0" fillId="25" borderId="1" xfId="0" applyNumberFormat="1" applyFill="1" applyBorder="1" applyAlignment="1" applyProtection="1">
      <alignment horizontal="right" vertical="center" indent="1"/>
    </xf>
    <xf numFmtId="202" fontId="0" fillId="28" borderId="1" xfId="0" applyNumberFormat="1" applyFill="1" applyBorder="1" applyAlignment="1" applyProtection="1">
      <alignment horizontal="left" vertical="center" indent="1"/>
    </xf>
    <xf numFmtId="170" fontId="0" fillId="28" borderId="1" xfId="0" applyNumberFormat="1" applyFill="1" applyBorder="1" applyAlignment="1" applyProtection="1">
      <alignment horizontal="right" vertical="center" indent="1"/>
    </xf>
    <xf numFmtId="2" fontId="0" fillId="0" borderId="0" xfId="0" applyNumberFormat="1" applyFill="1" applyAlignment="1" applyProtection="1">
      <alignment vertical="center"/>
    </xf>
    <xf numFmtId="4" fontId="0" fillId="0" borderId="0" xfId="0" applyNumberFormat="1" applyFill="1" applyAlignment="1" applyProtection="1">
      <alignment vertical="center"/>
    </xf>
    <xf numFmtId="0" fontId="6" fillId="30" borderId="1" xfId="0" applyFont="1" applyFill="1" applyBorder="1" applyAlignment="1" applyProtection="1">
      <alignment horizontal="left" vertical="center" indent="1"/>
    </xf>
    <xf numFmtId="170" fontId="0" fillId="30" borderId="1" xfId="0" applyNumberFormat="1" applyFill="1" applyBorder="1" applyAlignment="1" applyProtection="1">
      <alignment horizontal="right" vertical="center" indent="1"/>
    </xf>
    <xf numFmtId="9" fontId="0" fillId="0" borderId="0" xfId="0" applyNumberFormat="1" applyFill="1" applyAlignment="1" applyProtection="1">
      <alignment vertical="center"/>
    </xf>
    <xf numFmtId="202" fontId="7" fillId="25" borderId="1" xfId="0" applyNumberFormat="1" applyFont="1" applyFill="1" applyBorder="1" applyAlignment="1" applyProtection="1">
      <alignment horizontal="left" vertical="center" indent="1"/>
    </xf>
    <xf numFmtId="9" fontId="7" fillId="25" borderId="1" xfId="0" applyNumberFormat="1" applyFont="1" applyFill="1" applyBorder="1" applyAlignment="1" applyProtection="1">
      <alignment horizontal="right" vertical="center" indent="1"/>
    </xf>
    <xf numFmtId="202" fontId="0" fillId="0" borderId="1" xfId="0" applyNumberFormat="1" applyBorder="1" applyAlignment="1" applyProtection="1">
      <alignment horizontal="left" vertical="center" indent="1"/>
    </xf>
    <xf numFmtId="3" fontId="0" fillId="0" borderId="1" xfId="0" applyNumberFormat="1" applyBorder="1" applyAlignment="1" applyProtection="1">
      <alignment horizontal="right" vertical="center" indent="1"/>
    </xf>
    <xf numFmtId="10" fontId="0" fillId="25" borderId="1" xfId="0" applyNumberFormat="1" applyFill="1" applyBorder="1" applyAlignment="1" applyProtection="1">
      <alignment horizontal="right" vertical="center" indent="1"/>
    </xf>
    <xf numFmtId="10" fontId="0" fillId="0" borderId="0" xfId="0" applyNumberFormat="1" applyFill="1" applyAlignment="1" applyProtection="1">
      <alignment horizontal="right" vertical="center"/>
    </xf>
    <xf numFmtId="1" fontId="7" fillId="25" borderId="1" xfId="0" applyNumberFormat="1" applyFont="1" applyFill="1" applyBorder="1" applyAlignment="1" applyProtection="1">
      <alignment horizontal="right" vertical="center" indent="1"/>
    </xf>
    <xf numFmtId="170" fontId="0" fillId="0" borderId="1" xfId="0" applyNumberFormat="1" applyBorder="1" applyAlignment="1" applyProtection="1">
      <alignment horizontal="right" vertical="center" indent="1"/>
    </xf>
    <xf numFmtId="0" fontId="2" fillId="0" borderId="0" xfId="0" applyFont="1" applyAlignment="1" applyProtection="1">
      <alignment horizontal="left" vertical="center" indent="1"/>
    </xf>
    <xf numFmtId="171" fontId="6" fillId="30" borderId="1" xfId="0" applyNumberFormat="1" applyFont="1" applyFill="1" applyBorder="1" applyAlignment="1" applyProtection="1">
      <alignment horizontal="right" vertical="center" indent="1"/>
    </xf>
    <xf numFmtId="0" fontId="51" fillId="30" borderId="1" xfId="0" applyFont="1" applyFill="1" applyBorder="1" applyAlignment="1" applyProtection="1">
      <alignment horizontal="left" vertical="center" indent="1"/>
    </xf>
    <xf numFmtId="170" fontId="51" fillId="30" borderId="1" xfId="0" applyNumberFormat="1" applyFont="1" applyFill="1" applyBorder="1" applyAlignment="1" applyProtection="1">
      <alignment horizontal="right" vertical="center" indent="1"/>
    </xf>
    <xf numFmtId="9" fontId="7" fillId="0" borderId="0" xfId="0" applyNumberFormat="1" applyFont="1" applyFill="1" applyAlignment="1" applyProtection="1">
      <alignment vertical="center"/>
    </xf>
    <xf numFmtId="171" fontId="0" fillId="0" borderId="0" xfId="0" applyNumberFormat="1" applyAlignment="1" applyProtection="1">
      <alignment horizontal="left" vertical="center" indent="1"/>
    </xf>
    <xf numFmtId="171" fontId="0" fillId="0" borderId="0" xfId="0" applyNumberFormat="1" applyAlignment="1" applyProtection="1">
      <alignment vertical="center"/>
    </xf>
    <xf numFmtId="171" fontId="0" fillId="0" borderId="0" xfId="0" applyNumberFormat="1" applyAlignment="1" applyProtection="1">
      <alignment horizontal="left" vertical="center"/>
    </xf>
    <xf numFmtId="165" fontId="0" fillId="0" borderId="0" xfId="0" applyNumberFormat="1" applyAlignment="1" applyProtection="1">
      <alignment horizontal="left" vertical="center" indent="1"/>
    </xf>
    <xf numFmtId="165" fontId="0" fillId="0" borderId="0" xfId="0" applyNumberFormat="1" applyAlignment="1" applyProtection="1">
      <alignment horizontal="left" vertical="center"/>
    </xf>
    <xf numFmtId="168" fontId="0" fillId="0" borderId="0" xfId="0" applyNumberFormat="1" applyAlignment="1" applyProtection="1">
      <alignment vertical="center"/>
    </xf>
    <xf numFmtId="3" fontId="0" fillId="25" borderId="1" xfId="0" applyNumberFormat="1" applyFill="1" applyBorder="1" applyAlignment="1" applyProtection="1">
      <alignment horizontal="right" vertical="center" indent="1"/>
    </xf>
    <xf numFmtId="170" fontId="53" fillId="23" borderId="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70" fontId="2" fillId="27" borderId="1" xfId="0" applyNumberFormat="1" applyFont="1" applyFill="1" applyBorder="1" applyAlignment="1">
      <alignment horizontal="center" vertical="center" wrapText="1"/>
    </xf>
    <xf numFmtId="0" fontId="3" fillId="23" borderId="34" xfId="0" applyFont="1" applyFill="1" applyBorder="1" applyAlignment="1">
      <alignment vertical="center" wrapText="1"/>
    </xf>
    <xf numFmtId="0" fontId="0" fillId="25" borderId="1" xfId="0" applyFill="1" applyBorder="1" applyAlignment="1" applyProtection="1">
      <alignment horizontal="left" vertical="center"/>
    </xf>
    <xf numFmtId="9" fontId="0" fillId="25" borderId="1" xfId="0" applyNumberFormat="1" applyFill="1" applyBorder="1" applyAlignment="1" applyProtection="1">
      <alignment vertical="center"/>
    </xf>
    <xf numFmtId="170" fontId="0" fillId="0" borderId="0" xfId="0" applyNumberFormat="1" applyFill="1" applyBorder="1" applyAlignment="1" applyProtection="1">
      <alignment horizontal="right" vertical="center"/>
    </xf>
    <xf numFmtId="206" fontId="4" fillId="28" borderId="1" xfId="103" applyNumberFormat="1" applyFont="1" applyFill="1" applyBorder="1" applyAlignment="1">
      <alignment horizontal="right" indent="1"/>
    </xf>
    <xf numFmtId="205" fontId="0" fillId="0" borderId="0" xfId="0" applyNumberFormat="1" applyAlignment="1" applyProtection="1">
      <alignment vertical="center"/>
    </xf>
    <xf numFmtId="0" fontId="8" fillId="29" borderId="26" xfId="0" applyFont="1" applyFill="1" applyBorder="1" applyAlignment="1" applyProtection="1">
      <alignment horizontal="center" vertical="center" wrapText="1"/>
    </xf>
    <xf numFmtId="0" fontId="8" fillId="29" borderId="27" xfId="0" applyFont="1" applyFill="1" applyBorder="1" applyAlignment="1" applyProtection="1">
      <alignment horizontal="center" vertical="center" wrapText="1"/>
    </xf>
    <xf numFmtId="0" fontId="8" fillId="29" borderId="28" xfId="0" applyFont="1" applyFill="1" applyBorder="1" applyAlignment="1" applyProtection="1">
      <alignment horizontal="center" vertical="center" wrapText="1"/>
    </xf>
    <xf numFmtId="0" fontId="8" fillId="29" borderId="31" xfId="0" applyFont="1" applyFill="1" applyBorder="1" applyAlignment="1" applyProtection="1">
      <alignment horizontal="center" vertical="center" wrapText="1"/>
    </xf>
    <xf numFmtId="0" fontId="8" fillId="29" borderId="32" xfId="0" applyFont="1" applyFill="1" applyBorder="1" applyAlignment="1" applyProtection="1">
      <alignment horizontal="center" vertical="center" wrapText="1"/>
    </xf>
    <xf numFmtId="0" fontId="8" fillId="29" borderId="33" xfId="0" applyFont="1" applyFill="1" applyBorder="1" applyAlignment="1" applyProtection="1">
      <alignment horizontal="center" vertical="center" wrapText="1"/>
    </xf>
    <xf numFmtId="202" fontId="0" fillId="27" borderId="9" xfId="0" applyNumberFormat="1" applyFill="1" applyBorder="1" applyAlignment="1" applyProtection="1">
      <alignment horizontal="center" vertical="center"/>
    </xf>
    <xf numFmtId="202" fontId="0" fillId="27" borderId="29" xfId="0" applyNumberFormat="1" applyFill="1" applyBorder="1" applyAlignment="1" applyProtection="1">
      <alignment horizontal="center" vertical="center"/>
    </xf>
    <xf numFmtId="170" fontId="0" fillId="27" borderId="9" xfId="0" applyNumberFormat="1" applyFill="1" applyBorder="1" applyAlignment="1" applyProtection="1">
      <alignment horizontal="right" vertical="center"/>
    </xf>
    <xf numFmtId="170" fontId="0" fillId="27" borderId="29" xfId="0" applyNumberFormat="1" applyFill="1" applyBorder="1" applyAlignment="1" applyProtection="1">
      <alignment horizontal="right" vertical="center"/>
    </xf>
    <xf numFmtId="202" fontId="0" fillId="25" borderId="9" xfId="0" applyNumberFormat="1" applyFill="1" applyBorder="1" applyAlignment="1" applyProtection="1">
      <alignment horizontal="center" vertical="center"/>
    </xf>
    <xf numFmtId="202" fontId="0" fillId="25" borderId="24" xfId="0" applyNumberFormat="1" applyFill="1" applyBorder="1" applyAlignment="1" applyProtection="1">
      <alignment horizontal="center" vertical="center"/>
    </xf>
    <xf numFmtId="202" fontId="0" fillId="25" borderId="29" xfId="0" applyNumberFormat="1" applyFill="1" applyBorder="1" applyAlignment="1" applyProtection="1">
      <alignment horizontal="center" vertical="center"/>
    </xf>
    <xf numFmtId="170" fontId="0" fillId="25" borderId="9" xfId="0" applyNumberFormat="1" applyFill="1" applyBorder="1" applyAlignment="1" applyProtection="1">
      <alignment horizontal="center" vertical="center"/>
    </xf>
    <xf numFmtId="170" fontId="0" fillId="25" borderId="24" xfId="0" applyNumberFormat="1" applyFill="1" applyBorder="1" applyAlignment="1" applyProtection="1">
      <alignment horizontal="center" vertical="center"/>
    </xf>
    <xf numFmtId="170" fontId="0" fillId="25" borderId="29" xfId="0" applyNumberFormat="1" applyFill="1" applyBorder="1" applyAlignment="1" applyProtection="1">
      <alignment horizontal="center" vertical="center"/>
    </xf>
  </cellXfs>
  <cellStyles count="104">
    <cellStyle name="- -@*. + encadré" xfId="1"/>
    <cellStyle name="% 2 déc centré" xfId="2"/>
    <cellStyle name="2 décimales centré taille 10" xfId="3"/>
    <cellStyle name="2 esp @" xfId="4"/>
    <cellStyle name="2 esp @*.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Bad" xfId="24"/>
    <cellStyle name="Blanc normal" xfId="25"/>
    <cellStyle name="Blanchir" xfId="26"/>
    <cellStyle name="Bordure_gris" xfId="27"/>
    <cellStyle name="caché" xfId="28"/>
    <cellStyle name="Cadre fin G.D" xfId="29"/>
    <cellStyle name="Cadre_fin" xfId="30"/>
    <cellStyle name="Calculation" xfId="31"/>
    <cellStyle name="cBMilliers" xfId="32"/>
    <cellStyle name="cBMilliers-" xfId="33"/>
    <cellStyle name="Check Cell" xfId="34"/>
    <cellStyle name="chiff + 2 espaces" xfId="35"/>
    <cellStyle name="Comma [0]" xfId="36"/>
    <cellStyle name="Currency [0]" xfId="37"/>
    <cellStyle name="Date 5 nov 98" xfId="38"/>
    <cellStyle name="Date en rouge" xfId="39"/>
    <cellStyle name="Date rouge" xfId="40"/>
    <cellStyle name="Date_av_jour" xfId="41"/>
    <cellStyle name="Deverrouillage" xfId="42"/>
    <cellStyle name="Dezimal_PROMILLE" xfId="43"/>
    <cellStyle name="édité le :" xfId="44"/>
    <cellStyle name="Encadmt_noir" xfId="45"/>
    <cellStyle name="encadré jaune" xfId="46"/>
    <cellStyle name="encadré rouge text bleu gras" xfId="47"/>
    <cellStyle name="Encadremt_noir" xfId="48"/>
    <cellStyle name="Encadrt_noir" xfId="49"/>
    <cellStyle name="Enlever Zéro" xfId="50"/>
    <cellStyle name="en-tête" xfId="51"/>
    <cellStyle name="Entiers_9" xfId="52"/>
    <cellStyle name="Escargot" xfId="53"/>
    <cellStyle name="Espace pointil" xfId="54"/>
    <cellStyle name="Euro" xfId="55"/>
    <cellStyle name="Explanatory Text" xfId="56"/>
    <cellStyle name="fd jaune centré rouge" xfId="57"/>
    <cellStyle name="fond gris enc rouge" xfId="58"/>
    <cellStyle name="Fractionnaire" xfId="59"/>
    <cellStyle name="Good" xfId="60"/>
    <cellStyle name="Gras 14 centré" xfId="61"/>
    <cellStyle name="Gris_liseret" xfId="62"/>
    <cellStyle name="Grisé" xfId="63"/>
    <cellStyle name="Heading 1" xfId="64"/>
    <cellStyle name="Heading 2" xfId="65"/>
    <cellStyle name="Heading 3" xfId="66"/>
    <cellStyle name="Heading 4" xfId="67"/>
    <cellStyle name="Input" xfId="68"/>
    <cellStyle name="jaune" xfId="69"/>
    <cellStyle name="Jaunir" xfId="70"/>
    <cellStyle name="Jo SCHNEIDER" xfId="71"/>
    <cellStyle name="Jo_1" xfId="72"/>
    <cellStyle name="joli" xfId="73"/>
    <cellStyle name="KF arrondi" xfId="74"/>
    <cellStyle name="Linked Cell" xfId="75"/>
    <cellStyle name="Mi" xfId="76"/>
    <cellStyle name="Milliers 0 déc" xfId="77"/>
    <cellStyle name="mois" xfId="78"/>
    <cellStyle name="Monétaire" xfId="103" builtinId="4"/>
    <cellStyle name="Mulhouse, le" xfId="79"/>
    <cellStyle name="Nbre_négatif_rouge" xfId="80"/>
    <cellStyle name="Neutral" xfId="81"/>
    <cellStyle name="Noir_très_épai" xfId="82"/>
    <cellStyle name="Normal" xfId="0" builtinId="0"/>
    <cellStyle name="Normal 2" xfId="83"/>
    <cellStyle name="Note" xfId="84"/>
    <cellStyle name="Output" xfId="85"/>
    <cellStyle name="Pointillé" xfId="86"/>
    <cellStyle name="Pourcentage" xfId="87" builtinId="5"/>
    <cellStyle name="prix 2 déc HT" xfId="88"/>
    <cellStyle name="prix 2 déc TTC" xfId="89"/>
    <cellStyle name="Retrait_2_esp" xfId="90"/>
    <cellStyle name="Standard_Dialog1" xfId="91"/>
    <cellStyle name="Supprime_Zéro" xfId="92"/>
    <cellStyle name="Téléphone" xfId="93"/>
    <cellStyle name="Title" xfId="94"/>
    <cellStyle name="Titre en bleu" xfId="95"/>
    <cellStyle name="totalm" xfId="96"/>
    <cellStyle name="Ve Ma Ca" xfId="97"/>
    <cellStyle name="Verdir" xfId="98"/>
    <cellStyle name="VIDE BLANC" xfId="99"/>
    <cellStyle name="Währung [0]_Dialog1" xfId="100"/>
    <cellStyle name="Währung_Dialog1" xfId="101"/>
    <cellStyle name="Warning Text" xfId="102"/>
  </cellStyles>
  <dxfs count="22"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2"/>
      </font>
    </dxf>
    <dxf>
      <fill>
        <patternFill>
          <bgColor indexed="4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Temps de retour actualisé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'Tresorerie autoconsomat'!$R$5:$R$34</c:f>
              <c:numCache>
                <c:formatCode>#\ ##0\ "€"</c:formatCode>
                <c:ptCount val="30"/>
                <c:pt idx="0">
                  <c:v>-106340</c:v>
                </c:pt>
                <c:pt idx="1">
                  <c:v>-97107.614999999991</c:v>
                </c:pt>
                <c:pt idx="2">
                  <c:v>-87801.450368499995</c:v>
                </c:pt>
                <c:pt idx="3">
                  <c:v>-78420.09234046565</c:v>
                </c:pt>
                <c:pt idx="4">
                  <c:v>-68962.107724996211</c:v>
                </c:pt>
                <c:pt idx="5">
                  <c:v>-59426.04360868784</c:v>
                </c:pt>
                <c:pt idx="6">
                  <c:v>-49810.427054628002</c:v>
                </c:pt>
                <c:pt idx="7">
                  <c:v>-40113.764796955904</c:v>
                </c:pt>
                <c:pt idx="8">
                  <c:v>-30334.542930922878</c:v>
                </c:pt>
                <c:pt idx="9">
                  <c:v>-20471.226598385565</c:v>
                </c:pt>
                <c:pt idx="10">
                  <c:v>-10522.259668663937</c:v>
                </c:pt>
                <c:pt idx="11">
                  <c:v>-486.0644146949835</c:v>
                </c:pt>
                <c:pt idx="12">
                  <c:v>9638.9588155879756</c:v>
                </c:pt>
                <c:pt idx="13">
                  <c:v>19854.431932721542</c:v>
                </c:pt>
                <c:pt idx="14">
                  <c:v>30161.999444096247</c:v>
                </c:pt>
                <c:pt idx="15">
                  <c:v>40563.328797331546</c:v>
                </c:pt>
                <c:pt idx="16">
                  <c:v>51060.110728716238</c:v>
                </c:pt>
                <c:pt idx="17">
                  <c:v>61654.059616789731</c:v>
                </c:pt>
                <c:pt idx="18">
                  <c:v>72346.913841140718</c:v>
                </c:pt>
                <c:pt idx="19">
                  <c:v>83140.436146501044</c:v>
                </c:pt>
                <c:pt idx="20">
                  <c:v>94036.41401221363</c:v>
                </c:pt>
                <c:pt idx="21">
                  <c:v>105036.66002715443</c:v>
                </c:pt>
                <c:pt idx="22">
                  <c:v>116143.01227018978</c:v>
                </c:pt>
                <c:pt idx="23">
                  <c:v>127357.33469625145</c:v>
                </c:pt>
                <c:pt idx="24">
                  <c:v>138681.51752811324</c:v>
                </c:pt>
                <c:pt idx="25">
                  <c:v>150117.47765395383</c:v>
                </c:pt>
                <c:pt idx="26">
                  <c:v>161667.15903079222</c:v>
                </c:pt>
                <c:pt idx="27">
                  <c:v>173332.5330938831</c:v>
                </c:pt>
                <c:pt idx="28">
                  <c:v>185115.59917216099</c:v>
                </c:pt>
                <c:pt idx="29">
                  <c:v>197018.38490982316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AF-4397-8F82-CFA1CAD9A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11048"/>
        <c:axId val="588912224"/>
      </c:lineChart>
      <c:catAx>
        <c:axId val="588911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Années</a:t>
                </a:r>
              </a:p>
            </c:rich>
          </c:tx>
          <c:layout>
            <c:manualLayout>
              <c:xMode val="edge"/>
              <c:yMode val="edge"/>
              <c:x val="0.80125860915739133"/>
              <c:y val="0.64771168133970825"/>
            </c:manualLayout>
          </c:layout>
          <c:overlay val="0"/>
        </c:title>
        <c:majorTickMark val="none"/>
        <c:minorTickMark val="none"/>
        <c:tickLblPos val="nextTo"/>
        <c:txPr>
          <a:bodyPr/>
          <a:lstStyle/>
          <a:p>
            <a:pPr>
              <a:defRPr sz="1050" b="1"/>
            </a:pPr>
            <a:endParaRPr lang="fr-FR"/>
          </a:p>
        </c:txPr>
        <c:crossAx val="588912224"/>
        <c:crosses val="autoZero"/>
        <c:auto val="1"/>
        <c:lblAlgn val="ctr"/>
        <c:lblOffset val="100"/>
        <c:noMultiLvlLbl val="0"/>
      </c:catAx>
      <c:valAx>
        <c:axId val="5889122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€</a:t>
                </a:r>
              </a:p>
            </c:rich>
          </c:tx>
          <c:layout>
            <c:manualLayout>
              <c:xMode val="edge"/>
              <c:yMode val="edge"/>
              <c:x val="9.6144682829423553E-2"/>
              <c:y val="1.0493706067267586E-2"/>
            </c:manualLayout>
          </c:layout>
          <c:overlay val="0"/>
        </c:title>
        <c:numFmt formatCode="#\ ##0\ &quot;€&quot;" sourceLinked="1"/>
        <c:majorTickMark val="none"/>
        <c:minorTickMark val="none"/>
        <c:tickLblPos val="nextTo"/>
        <c:txPr>
          <a:bodyPr/>
          <a:lstStyle/>
          <a:p>
            <a:pPr>
              <a:defRPr sz="1050" b="1"/>
            </a:pPr>
            <a:endParaRPr lang="fr-FR"/>
          </a:p>
        </c:txPr>
        <c:crossAx val="5889110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200"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375463</xdr:colOff>
      <xdr:row>25</xdr:row>
      <xdr:rowOff>163365</xdr:rowOff>
    </xdr:from>
    <xdr:to>
      <xdr:col>5</xdr:col>
      <xdr:colOff>351651</xdr:colOff>
      <xdr:row>54</xdr:row>
      <xdr:rowOff>20489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outlinePr showOutlineSymbols="0"/>
    <pageSetUpPr fitToPage="1"/>
  </sheetPr>
  <dimension ref="B1:AB50"/>
  <sheetViews>
    <sheetView showGridLines="0" tabSelected="1" showOutlineSymbols="0" zoomScale="98" zoomScaleNormal="98" workbookViewId="0">
      <pane ySplit="4" topLeftCell="A5" activePane="bottomLeft" state="frozen"/>
      <selection pane="bottomLeft" activeCell="B2" sqref="B2:F3"/>
    </sheetView>
  </sheetViews>
  <sheetFormatPr baseColWidth="10" defaultRowHeight="15" outlineLevelCol="1"/>
  <cols>
    <col min="1" max="1" width="1.7109375" style="60" customWidth="1"/>
    <col min="2" max="2" width="37" style="57" bestFit="1" customWidth="1"/>
    <col min="3" max="3" width="13.85546875" style="58" customWidth="1" collapsed="1"/>
    <col min="4" max="4" width="17.28515625" style="59" customWidth="1"/>
    <col min="5" max="5" width="66.28515625" style="57" customWidth="1"/>
    <col min="6" max="6" width="16.7109375" style="60" bestFit="1" customWidth="1"/>
    <col min="7" max="7" width="9.140625" style="60" bestFit="1" customWidth="1" outlineLevel="1"/>
    <col min="8" max="8" width="25" style="60" customWidth="1" collapsed="1"/>
    <col min="9" max="9" width="24.42578125" style="60" customWidth="1"/>
    <col min="10" max="10" width="27.85546875" style="60" customWidth="1"/>
    <col min="11" max="16384" width="11.42578125" style="60"/>
  </cols>
  <sheetData>
    <row r="1" spans="2:8" ht="5.25" customHeight="1" thickBot="1"/>
    <row r="2" spans="2:8">
      <c r="B2" s="113" t="s">
        <v>69</v>
      </c>
      <c r="C2" s="114"/>
      <c r="D2" s="114"/>
      <c r="E2" s="114"/>
      <c r="F2" s="115"/>
    </row>
    <row r="3" spans="2:8" ht="15.75" thickBot="1">
      <c r="B3" s="116"/>
      <c r="C3" s="117"/>
      <c r="D3" s="117"/>
      <c r="E3" s="117"/>
      <c r="F3" s="118"/>
    </row>
    <row r="4" spans="2:8" ht="12.75" customHeight="1"/>
    <row r="5" spans="2:8" ht="12.75" customHeight="1">
      <c r="B5" s="61" t="s">
        <v>47</v>
      </c>
      <c r="C5" s="62">
        <v>100</v>
      </c>
      <c r="D5" s="63" t="s">
        <v>44</v>
      </c>
      <c r="E5" s="119" t="s">
        <v>0</v>
      </c>
      <c r="F5" s="121">
        <f>Puissance*coutkwc</f>
        <v>120000</v>
      </c>
    </row>
    <row r="6" spans="2:8" ht="18.75" customHeight="1">
      <c r="B6" s="61" t="s">
        <v>54</v>
      </c>
      <c r="C6" s="103">
        <v>1000</v>
      </c>
      <c r="D6" s="63"/>
      <c r="E6" s="120"/>
      <c r="F6" s="122"/>
    </row>
    <row r="7" spans="2:8" ht="18.75" customHeight="1">
      <c r="B7" s="61" t="s">
        <v>29</v>
      </c>
      <c r="C7" s="66">
        <v>1</v>
      </c>
      <c r="E7" s="64" t="s">
        <v>25</v>
      </c>
      <c r="F7" s="65">
        <f>F5*C15</f>
        <v>0</v>
      </c>
      <c r="H7" s="67"/>
    </row>
    <row r="8" spans="2:8" ht="18.75" customHeight="1">
      <c r="B8" s="61" t="s">
        <v>48</v>
      </c>
      <c r="C8" s="68">
        <v>0</v>
      </c>
      <c r="D8" s="59" t="s">
        <v>43</v>
      </c>
      <c r="E8" s="64" t="s">
        <v>16</v>
      </c>
      <c r="F8" s="65">
        <v>0</v>
      </c>
      <c r="H8" s="67"/>
    </row>
    <row r="9" spans="2:8" ht="18.75" customHeight="1">
      <c r="B9" s="61" t="s">
        <v>17</v>
      </c>
      <c r="C9" s="69">
        <v>8.1500000000000003E-2</v>
      </c>
      <c r="E9" s="64" t="s">
        <v>32</v>
      </c>
      <c r="F9" s="65">
        <v>4500</v>
      </c>
      <c r="H9" s="70"/>
    </row>
    <row r="10" spans="2:8" ht="18.75" customHeight="1">
      <c r="B10" s="61" t="s">
        <v>18</v>
      </c>
      <c r="C10" s="71">
        <v>0.02</v>
      </c>
      <c r="E10" s="64" t="s">
        <v>19</v>
      </c>
      <c r="F10" s="65">
        <f>(F5+F7+F8)-F9</f>
        <v>115500</v>
      </c>
      <c r="H10" s="72"/>
    </row>
    <row r="11" spans="2:8" ht="18.75" customHeight="1">
      <c r="B11" s="61" t="s">
        <v>66</v>
      </c>
      <c r="C11" s="74" t="s">
        <v>74</v>
      </c>
      <c r="E11" s="77" t="s">
        <v>34</v>
      </c>
      <c r="F11" s="78">
        <f>'Tresorerie autoconsomat'!H35</f>
        <v>0</v>
      </c>
      <c r="H11" s="72"/>
    </row>
    <row r="12" spans="2:8" ht="18.75" customHeight="1">
      <c r="B12" s="73" t="s">
        <v>28</v>
      </c>
      <c r="C12" s="74" t="s">
        <v>73</v>
      </c>
      <c r="E12" s="77" t="s">
        <v>33</v>
      </c>
      <c r="F12" s="78">
        <f>'Calcul intérêts '!C10</f>
        <v>0</v>
      </c>
      <c r="H12" s="75"/>
    </row>
    <row r="13" spans="2:8" ht="18.75" customHeight="1">
      <c r="B13" s="73" t="s">
        <v>30</v>
      </c>
      <c r="C13" s="76">
        <v>0</v>
      </c>
      <c r="E13" s="77" t="s">
        <v>35</v>
      </c>
      <c r="F13" s="78">
        <f>'Tresorerie autoconsomat'!I35</f>
        <v>82585.099005325523</v>
      </c>
      <c r="H13" s="75"/>
    </row>
    <row r="14" spans="2:8" ht="18.75" customHeight="1">
      <c r="B14" s="61" t="s">
        <v>10</v>
      </c>
      <c r="C14" s="69">
        <v>1200</v>
      </c>
      <c r="E14" s="77" t="s">
        <v>59</v>
      </c>
      <c r="F14" s="78">
        <v>0</v>
      </c>
    </row>
    <row r="15" spans="2:8" ht="18.75" customHeight="1">
      <c r="B15" s="61" t="s">
        <v>25</v>
      </c>
      <c r="C15" s="74">
        <v>0</v>
      </c>
      <c r="D15" s="59" t="s">
        <v>75</v>
      </c>
      <c r="E15" s="81" t="s">
        <v>39</v>
      </c>
      <c r="F15" s="82">
        <f xml:space="preserve"> IF(F8&gt;0,(F10+F11+F13+F12+F14),(F10+F11+F12+F13))</f>
        <v>198085.09900532552</v>
      </c>
      <c r="H15" s="79"/>
    </row>
    <row r="16" spans="2:8" ht="18.75" customHeight="1">
      <c r="B16" s="84" t="s">
        <v>22</v>
      </c>
      <c r="C16" s="85">
        <v>1</v>
      </c>
      <c r="E16" s="86" t="s">
        <v>36</v>
      </c>
      <c r="F16" s="87">
        <f>totalproduction</f>
        <v>2792316.1617060769</v>
      </c>
      <c r="G16" s="110"/>
      <c r="H16" s="80"/>
    </row>
    <row r="17" spans="2:8" ht="18.75" customHeight="1">
      <c r="B17" s="73" t="s">
        <v>27</v>
      </c>
      <c r="C17" s="88">
        <v>0.01</v>
      </c>
      <c r="E17" s="86" t="s">
        <v>37</v>
      </c>
      <c r="F17" s="87">
        <f>totalproductionautoconsomme</f>
        <v>2792316.1617060769</v>
      </c>
      <c r="H17" s="83"/>
    </row>
    <row r="18" spans="2:8" ht="18.75" customHeight="1">
      <c r="B18" s="84" t="s">
        <v>31</v>
      </c>
      <c r="C18" s="90">
        <v>10</v>
      </c>
      <c r="D18" s="59" t="s">
        <v>53</v>
      </c>
      <c r="E18" s="86" t="s">
        <v>23</v>
      </c>
      <c r="F18" s="87">
        <f>totalproductionvendue</f>
        <v>0</v>
      </c>
      <c r="H18" s="70"/>
    </row>
    <row r="19" spans="2:8" ht="18.75" customHeight="1">
      <c r="B19" s="61" t="s">
        <v>49</v>
      </c>
      <c r="C19" s="88">
        <v>0</v>
      </c>
      <c r="D19" s="59" t="s">
        <v>46</v>
      </c>
      <c r="E19" s="86" t="s">
        <v>20</v>
      </c>
      <c r="F19" s="91">
        <f>totalventesurplus</f>
        <v>0</v>
      </c>
      <c r="H19" s="89"/>
    </row>
    <row r="20" spans="2:8" ht="18.75" customHeight="1">
      <c r="B20" s="123" t="s">
        <v>76</v>
      </c>
      <c r="C20" s="126">
        <v>22</v>
      </c>
      <c r="E20" s="86" t="s">
        <v>63</v>
      </c>
      <c r="F20" s="91">
        <f>economieCSPE</f>
        <v>62827.113638386712</v>
      </c>
      <c r="H20" s="70"/>
    </row>
    <row r="21" spans="2:8" ht="18.75" customHeight="1">
      <c r="B21" s="124"/>
      <c r="C21" s="127"/>
      <c r="D21" s="92" t="s">
        <v>45</v>
      </c>
      <c r="E21" s="86" t="s">
        <v>62</v>
      </c>
      <c r="F21" s="91">
        <f>'Tresorerie autoconsomat'!N35</f>
        <v>26806.23515237834</v>
      </c>
    </row>
    <row r="22" spans="2:8" ht="18.75" customHeight="1">
      <c r="B22" s="125"/>
      <c r="C22" s="128"/>
      <c r="E22" s="81" t="s">
        <v>26</v>
      </c>
      <c r="F22" s="93">
        <f>IF(C7=0,0,((couttotal)/productionautoconsomme))</f>
        <v>7.0939351969476663E-2</v>
      </c>
    </row>
    <row r="23" spans="2:8" ht="18.75" customHeight="1">
      <c r="B23" s="61" t="s">
        <v>50</v>
      </c>
      <c r="C23" s="71">
        <v>1.4999999999999999E-2</v>
      </c>
      <c r="E23" s="94" t="s">
        <v>72</v>
      </c>
      <c r="F23" s="95">
        <f>totalfluxdetresorerie</f>
        <v>197018.38490982316</v>
      </c>
    </row>
    <row r="24" spans="2:8" ht="18.75" customHeight="1">
      <c r="B24" s="108" t="s">
        <v>58</v>
      </c>
      <c r="C24" s="109">
        <v>0.02</v>
      </c>
      <c r="E24" s="57" t="s">
        <v>71</v>
      </c>
      <c r="F24" s="112">
        <f>totalfluxdetresorerie</f>
        <v>197018.38490982316</v>
      </c>
    </row>
    <row r="25" spans="2:8" ht="18.75" customHeight="1">
      <c r="E25" s="60"/>
      <c r="H25" s="96"/>
    </row>
    <row r="26" spans="2:8">
      <c r="E26" s="60"/>
    </row>
    <row r="27" spans="2:8">
      <c r="D27" s="58"/>
    </row>
    <row r="28" spans="2:8">
      <c r="D28" s="58"/>
    </row>
    <row r="40" spans="3:28">
      <c r="E40" s="99"/>
      <c r="F40" s="98"/>
    </row>
    <row r="41" spans="3:28">
      <c r="E41" s="101"/>
      <c r="F41" s="58"/>
    </row>
    <row r="42" spans="3:28">
      <c r="D42" s="97"/>
      <c r="E42" s="101"/>
      <c r="F42" s="5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</row>
    <row r="43" spans="3:28">
      <c r="C43" s="102"/>
      <c r="D43" s="100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3:28">
      <c r="C44" s="102"/>
      <c r="D44" s="100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9" spans="3:3">
      <c r="C49" s="98"/>
    </row>
    <row r="50" spans="3:3">
      <c r="C50" s="98"/>
    </row>
  </sheetData>
  <sheetProtection selectLockedCells="1"/>
  <mergeCells count="5">
    <mergeCell ref="B2:F3"/>
    <mergeCell ref="E5:E6"/>
    <mergeCell ref="F5:F6"/>
    <mergeCell ref="B20:B22"/>
    <mergeCell ref="C20:C22"/>
  </mergeCells>
  <phoneticPr fontId="1" type="noConversion"/>
  <conditionalFormatting sqref="C12">
    <cfRule type="cellIs" dxfId="21" priority="10" stopIfTrue="1" operator="equal">
      <formula>"non"</formula>
    </cfRule>
  </conditionalFormatting>
  <conditionalFormatting sqref="C12">
    <cfRule type="cellIs" dxfId="20" priority="6" operator="equal">
      <formula>"oui"</formula>
    </cfRule>
    <cfRule type="containsText" dxfId="19" priority="9" operator="containsText" text="non">
      <formula>NOT(ISERROR(SEARCH("non",C12)))</formula>
    </cfRule>
  </conditionalFormatting>
  <conditionalFormatting sqref="C11">
    <cfRule type="cellIs" dxfId="18" priority="1" operator="equal">
      <formula>"oui"</formula>
    </cfRule>
    <cfRule type="containsText" dxfId="17" priority="2" operator="containsText" text="non">
      <formula>NOT(ISERROR(SEARCH("non",C11)))</formula>
    </cfRule>
  </conditionalFormatting>
  <conditionalFormatting sqref="C11">
    <cfRule type="cellIs" dxfId="16" priority="3" stopIfTrue="1" operator="equal">
      <formula>"non"</formula>
    </cfRule>
  </conditionalFormatting>
  <pageMargins left="0.25" right="0.25" top="0.75" bottom="0.75" header="0.3" footer="0.3"/>
  <pageSetup paperSize="8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R38"/>
  <sheetViews>
    <sheetView showOutlineSymbols="0" zoomScale="78" zoomScaleNormal="64" workbookViewId="0">
      <pane xSplit="7" ySplit="3" topLeftCell="H13" activePane="bottomRight" state="frozen"/>
      <selection pane="topRight" activeCell="H1" sqref="H1"/>
      <selection pane="bottomLeft" activeCell="A3" sqref="A3"/>
      <selection pane="bottomRight" activeCell="H15" sqref="H15"/>
    </sheetView>
  </sheetViews>
  <sheetFormatPr baseColWidth="10" defaultRowHeight="15" outlineLevelRow="1" outlineLevelCol="2"/>
  <cols>
    <col min="1" max="1" width="2.5703125" style="5" customWidth="1"/>
    <col min="2" max="2" width="15.7109375" style="5" customWidth="1"/>
    <col min="3" max="3" width="14.140625" style="5" customWidth="1"/>
    <col min="4" max="4" width="6.5703125" style="5" bestFit="1" customWidth="1"/>
    <col min="5" max="5" width="15" style="6" customWidth="1" outlineLevel="2"/>
    <col min="6" max="6" width="14.5703125" style="6" customWidth="1" outlineLevel="2"/>
    <col min="7" max="7" width="14.5703125" style="6" customWidth="1" outlineLevel="1"/>
    <col min="8" max="8" width="14.85546875" style="5" bestFit="1" customWidth="1" outlineLevel="2"/>
    <col min="9" max="9" width="16.85546875" style="5" customWidth="1" outlineLevel="2"/>
    <col min="10" max="10" width="18" style="5" customWidth="1" outlineLevel="2"/>
    <col min="11" max="11" width="12.5703125" style="5" customWidth="1" outlineLevel="1"/>
    <col min="12" max="12" width="11.42578125" style="5" outlineLevel="1"/>
    <col min="13" max="13" width="14" style="5" customWidth="1" outlineLevel="1"/>
    <col min="14" max="14" width="15.85546875" style="5" customWidth="1" outlineLevel="1"/>
    <col min="15" max="15" width="15.140625" style="5" customWidth="1" outlineLevel="1"/>
    <col min="16" max="16" width="11.42578125" style="14" outlineLevel="1"/>
    <col min="17" max="17" width="13.28515625" style="5" bestFit="1" customWidth="1" outlineLevel="1"/>
    <col min="18" max="18" width="14.5703125" style="5" customWidth="1"/>
    <col min="19" max="16384" width="11.42578125" style="5"/>
  </cols>
  <sheetData>
    <row r="1" spans="2:18" ht="6.75" customHeight="1" thickBot="1"/>
    <row r="2" spans="2:18" ht="96" customHeight="1" thickBot="1">
      <c r="B2" s="48" t="s">
        <v>11</v>
      </c>
      <c r="C2" s="49" t="s">
        <v>12</v>
      </c>
      <c r="D2" s="49" t="s">
        <v>13</v>
      </c>
      <c r="E2" s="50" t="s">
        <v>68</v>
      </c>
      <c r="F2" s="50" t="s">
        <v>15</v>
      </c>
      <c r="G2" s="50" t="s">
        <v>67</v>
      </c>
      <c r="H2" s="51" t="s">
        <v>38</v>
      </c>
      <c r="I2" s="51" t="s">
        <v>42</v>
      </c>
      <c r="J2" s="51" t="s">
        <v>51</v>
      </c>
      <c r="K2" s="52" t="s">
        <v>14</v>
      </c>
      <c r="L2" s="51" t="s">
        <v>40</v>
      </c>
      <c r="M2" s="51" t="s">
        <v>61</v>
      </c>
      <c r="N2" s="51" t="s">
        <v>64</v>
      </c>
      <c r="O2" s="51" t="s">
        <v>56</v>
      </c>
      <c r="P2" s="53" t="s">
        <v>21</v>
      </c>
      <c r="Q2" s="51" t="s">
        <v>70</v>
      </c>
      <c r="R2" s="54" t="s">
        <v>41</v>
      </c>
    </row>
    <row r="3" spans="2:18" s="12" customFormat="1" ht="21" customHeight="1">
      <c r="B3" s="8"/>
      <c r="C3" s="9"/>
      <c r="D3" s="10"/>
      <c r="E3" s="11"/>
      <c r="F3" s="40">
        <f>autoconso</f>
        <v>1</v>
      </c>
      <c r="G3" s="13"/>
      <c r="H3" s="33">
        <f>assurances</f>
        <v>0</v>
      </c>
      <c r="I3" s="55">
        <f>maintenance</f>
        <v>22</v>
      </c>
      <c r="J3" s="34">
        <f>totalannualités</f>
        <v>0</v>
      </c>
      <c r="K3" s="35"/>
      <c r="L3" s="35">
        <f>kwhreseau</f>
        <v>8.1500000000000003E-2</v>
      </c>
      <c r="M3" s="36" t="s">
        <v>60</v>
      </c>
      <c r="N3" s="36" t="s">
        <v>65</v>
      </c>
      <c r="O3" s="37"/>
      <c r="P3" s="56">
        <f>tarifachat</f>
        <v>0</v>
      </c>
      <c r="Q3" s="34">
        <f>totalventesurplus</f>
        <v>0</v>
      </c>
      <c r="R3" s="36"/>
    </row>
    <row r="4" spans="2:18" s="12" customFormat="1" ht="21" customHeight="1">
      <c r="B4" s="107" t="s">
        <v>55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4">
        <f>IF(autofinacement=100,(-totalinvestissementavecsub),-(totalinvestissementavecsub*autofinacement))</f>
        <v>-115500</v>
      </c>
    </row>
    <row r="5" spans="2:18" ht="17.25" customHeight="1" outlineLevel="1">
      <c r="B5" s="38">
        <v>1</v>
      </c>
      <c r="C5" s="18">
        <f t="shared" ref="C5:C34" si="0">Puissance*production</f>
        <v>100000</v>
      </c>
      <c r="D5" s="19" t="b">
        <v>1</v>
      </c>
      <c r="E5" s="20">
        <f>C5</f>
        <v>100000</v>
      </c>
      <c r="F5" s="20">
        <f t="shared" ref="F5:F34" si="1">E5*autoconso</f>
        <v>100000</v>
      </c>
      <c r="G5" s="20">
        <f>IF(vente="oui",('Tresorerie autoconsomat'!E5-'Tresorerie autoconsomat'!F5),0)</f>
        <v>0</v>
      </c>
      <c r="H5" s="24">
        <f>coutinstallation*assurances</f>
        <v>0</v>
      </c>
      <c r="I5" s="24">
        <f>Puissance*maintenance</f>
        <v>2200</v>
      </c>
      <c r="J5" s="24">
        <f>'Calcul intérêts '!$C$12</f>
        <v>0</v>
      </c>
      <c r="K5" s="25">
        <f t="shared" ref="K5:K34" si="2">SUM(H5:J5)</f>
        <v>2200</v>
      </c>
      <c r="L5" s="27">
        <f>kwhreseau</f>
        <v>8.1500000000000003E-2</v>
      </c>
      <c r="M5" s="26">
        <f>F5*(22.5/1000)</f>
        <v>2250</v>
      </c>
      <c r="N5" s="26">
        <f>F5*(9.6/1000)</f>
        <v>959.99999999999989</v>
      </c>
      <c r="O5" s="32">
        <f>IF(Hypothèses!$C$11="oui",0,((L5*F5)-K5)+(M5+N5))</f>
        <v>9160</v>
      </c>
      <c r="P5" s="28">
        <f>tarifachat</f>
        <v>0</v>
      </c>
      <c r="Q5" s="29">
        <f>IF(Hypothèses!$C$11="OUI",'Tresorerie autoconsomat'!E5*'Tresorerie autoconsomat'!P5,P5*G5)</f>
        <v>0</v>
      </c>
      <c r="R5" s="30">
        <f t="shared" ref="R5:R34" si="3">IF(vente="oui",(R4+(Q5+O5)),R4+O5)</f>
        <v>-106340</v>
      </c>
    </row>
    <row r="6" spans="2:18" ht="17.25" customHeight="1" outlineLevel="1">
      <c r="B6" s="38">
        <v>2</v>
      </c>
      <c r="C6" s="18">
        <f t="shared" si="0"/>
        <v>100000</v>
      </c>
      <c r="D6" s="21">
        <f>IF($D$5=TRUE,0.5%,0)</f>
        <v>5.0000000000000001E-3</v>
      </c>
      <c r="E6" s="20">
        <f>E5*(1-D6)</f>
        <v>99500</v>
      </c>
      <c r="F6" s="20">
        <f t="shared" si="1"/>
        <v>99500</v>
      </c>
      <c r="G6" s="20">
        <f>IF(vente="oui",('Tresorerie autoconsomat'!E6-'Tresorerie autoconsomat'!F6),0)</f>
        <v>0</v>
      </c>
      <c r="H6" s="24">
        <f t="shared" ref="H6:H34" si="4">H5+(H5*inflation)</f>
        <v>0</v>
      </c>
      <c r="I6" s="24">
        <f t="shared" ref="I6:I34" si="5">I5+(I5*inflation)</f>
        <v>2233</v>
      </c>
      <c r="J6" s="24">
        <f>'Calcul intérêts '!$C$12</f>
        <v>0</v>
      </c>
      <c r="K6" s="25">
        <f t="shared" si="2"/>
        <v>2233</v>
      </c>
      <c r="L6" s="27">
        <f t="shared" ref="L6:L34" si="6">L5+($L5*inflationelec)</f>
        <v>8.3130000000000009E-2</v>
      </c>
      <c r="M6" s="26">
        <f t="shared" ref="M6:M34" si="7">F6*(22.5/1000)</f>
        <v>2238.75</v>
      </c>
      <c r="N6" s="26">
        <f t="shared" ref="N6:N34" si="8">F6*(9.6/1000)</f>
        <v>955.19999999999993</v>
      </c>
      <c r="O6" s="32">
        <f>IF(Hypothèses!$C$11="oui",0,((L6*F6)-K6)+(M6+N6))</f>
        <v>9232.385000000002</v>
      </c>
      <c r="P6" s="28">
        <f>P5*1.01</f>
        <v>0</v>
      </c>
      <c r="Q6" s="29">
        <f>IF(Hypothèses!$C$11="OUI",'Tresorerie autoconsomat'!E6*'Tresorerie autoconsomat'!P6,P6*G6)</f>
        <v>0</v>
      </c>
      <c r="R6" s="30">
        <f t="shared" si="3"/>
        <v>-97107.614999999991</v>
      </c>
    </row>
    <row r="7" spans="2:18" ht="17.25" customHeight="1" outlineLevel="1">
      <c r="B7" s="38">
        <v>3</v>
      </c>
      <c r="C7" s="18">
        <f t="shared" si="0"/>
        <v>100000</v>
      </c>
      <c r="D7" s="21">
        <f t="shared" ref="D7:D34" si="9">IF($D$5=TRUE,0.5%,0)</f>
        <v>5.0000000000000001E-3</v>
      </c>
      <c r="E7" s="20">
        <f t="shared" ref="E7:E34" si="10">E6*(1-D7)</f>
        <v>99002.5</v>
      </c>
      <c r="F7" s="20">
        <f t="shared" si="1"/>
        <v>99002.5</v>
      </c>
      <c r="G7" s="20">
        <f>IF(vente="oui",('Tresorerie autoconsomat'!E7-'Tresorerie autoconsomat'!F7),0)</f>
        <v>0</v>
      </c>
      <c r="H7" s="24">
        <f t="shared" si="4"/>
        <v>0</v>
      </c>
      <c r="I7" s="24">
        <f t="shared" si="5"/>
        <v>2266.4949999999999</v>
      </c>
      <c r="J7" s="24">
        <f>'Calcul intérêts '!$C$12</f>
        <v>0</v>
      </c>
      <c r="K7" s="25">
        <f t="shared" si="2"/>
        <v>2266.4949999999999</v>
      </c>
      <c r="L7" s="27">
        <f t="shared" si="6"/>
        <v>8.479260000000001E-2</v>
      </c>
      <c r="M7" s="26">
        <f t="shared" si="7"/>
        <v>2227.5562500000001</v>
      </c>
      <c r="N7" s="26">
        <f t="shared" si="8"/>
        <v>950.42399999999986</v>
      </c>
      <c r="O7" s="32">
        <f>IF(Hypothèses!$C$11="oui",0,((L7*F7)-K7)+(M7+N7))</f>
        <v>9306.1646314999998</v>
      </c>
      <c r="P7" s="28">
        <f t="shared" ref="P7:P24" si="11">P6*1.01</f>
        <v>0</v>
      </c>
      <c r="Q7" s="29">
        <f>IF(Hypothèses!$C$11="OUI",'Tresorerie autoconsomat'!E7*'Tresorerie autoconsomat'!P7,P7*G7)</f>
        <v>0</v>
      </c>
      <c r="R7" s="30">
        <f t="shared" si="3"/>
        <v>-87801.450368499995</v>
      </c>
    </row>
    <row r="8" spans="2:18" ht="17.25" customHeight="1" outlineLevel="1">
      <c r="B8" s="38">
        <v>4</v>
      </c>
      <c r="C8" s="18">
        <f t="shared" si="0"/>
        <v>100000</v>
      </c>
      <c r="D8" s="21">
        <f t="shared" si="9"/>
        <v>5.0000000000000001E-3</v>
      </c>
      <c r="E8" s="20">
        <f t="shared" si="10"/>
        <v>98507.487500000003</v>
      </c>
      <c r="F8" s="20">
        <f t="shared" si="1"/>
        <v>98507.487500000003</v>
      </c>
      <c r="G8" s="20">
        <f>IF(vente="oui",('Tresorerie autoconsomat'!E8-'Tresorerie autoconsomat'!F8),0)</f>
        <v>0</v>
      </c>
      <c r="H8" s="24">
        <f t="shared" si="4"/>
        <v>0</v>
      </c>
      <c r="I8" s="24">
        <f t="shared" si="5"/>
        <v>2300.4924249999999</v>
      </c>
      <c r="J8" s="24">
        <f>'Calcul intérêts '!$C$12</f>
        <v>0</v>
      </c>
      <c r="K8" s="25">
        <f t="shared" si="2"/>
        <v>2300.4924249999999</v>
      </c>
      <c r="L8" s="27">
        <f t="shared" si="6"/>
        <v>8.6488452000000007E-2</v>
      </c>
      <c r="M8" s="26">
        <f t="shared" si="7"/>
        <v>2216.4184687500001</v>
      </c>
      <c r="N8" s="26">
        <f t="shared" si="8"/>
        <v>945.67187999999999</v>
      </c>
      <c r="O8" s="32">
        <f>IF(Hypothèses!$C$11="oui",0,((L8*F8)-K8)+(M8+N8))</f>
        <v>9381.3580280343504</v>
      </c>
      <c r="P8" s="28">
        <f t="shared" si="11"/>
        <v>0</v>
      </c>
      <c r="Q8" s="29">
        <f>IF(Hypothèses!$C$11="OUI",'Tresorerie autoconsomat'!E8*'Tresorerie autoconsomat'!P8,P8*G8)</f>
        <v>0</v>
      </c>
      <c r="R8" s="30">
        <f t="shared" si="3"/>
        <v>-78420.09234046565</v>
      </c>
    </row>
    <row r="9" spans="2:18" ht="17.25" customHeight="1" outlineLevel="1">
      <c r="B9" s="38">
        <v>5</v>
      </c>
      <c r="C9" s="18">
        <f t="shared" si="0"/>
        <v>100000</v>
      </c>
      <c r="D9" s="21">
        <f t="shared" si="9"/>
        <v>5.0000000000000001E-3</v>
      </c>
      <c r="E9" s="20">
        <f t="shared" si="10"/>
        <v>98014.950062500007</v>
      </c>
      <c r="F9" s="20">
        <f t="shared" si="1"/>
        <v>98014.950062500007</v>
      </c>
      <c r="G9" s="20">
        <f>IF(vente="oui",('Tresorerie autoconsomat'!E9-'Tresorerie autoconsomat'!F9),0)</f>
        <v>0</v>
      </c>
      <c r="H9" s="24">
        <f t="shared" si="4"/>
        <v>0</v>
      </c>
      <c r="I9" s="24">
        <f t="shared" si="5"/>
        <v>2334.9998113749998</v>
      </c>
      <c r="J9" s="24">
        <f>'Calcul intérêts '!$C$12</f>
        <v>0</v>
      </c>
      <c r="K9" s="25">
        <f t="shared" si="2"/>
        <v>2334.9998113749998</v>
      </c>
      <c r="L9" s="27">
        <f t="shared" si="6"/>
        <v>8.8218221040000003E-2</v>
      </c>
      <c r="M9" s="26">
        <f t="shared" si="7"/>
        <v>2205.3363764062501</v>
      </c>
      <c r="N9" s="26">
        <f t="shared" si="8"/>
        <v>940.94352059999994</v>
      </c>
      <c r="O9" s="32">
        <f>IF(Hypothèses!$C$11="oui",0,((L9*F9)-K9)+(M9+N9))</f>
        <v>9457.9846154694369</v>
      </c>
      <c r="P9" s="28">
        <f t="shared" si="11"/>
        <v>0</v>
      </c>
      <c r="Q9" s="29">
        <f>IF(Hypothèses!$C$11="OUI",'Tresorerie autoconsomat'!E9*'Tresorerie autoconsomat'!P9,P9*G9)</f>
        <v>0</v>
      </c>
      <c r="R9" s="30">
        <f t="shared" si="3"/>
        <v>-68962.107724996211</v>
      </c>
    </row>
    <row r="10" spans="2:18" ht="17.25" customHeight="1" outlineLevel="1">
      <c r="B10" s="38">
        <v>6</v>
      </c>
      <c r="C10" s="18">
        <f t="shared" si="0"/>
        <v>100000</v>
      </c>
      <c r="D10" s="21">
        <f t="shared" si="9"/>
        <v>5.0000000000000001E-3</v>
      </c>
      <c r="E10" s="20">
        <f t="shared" si="10"/>
        <v>97524.875312187505</v>
      </c>
      <c r="F10" s="20">
        <f t="shared" si="1"/>
        <v>97524.875312187505</v>
      </c>
      <c r="G10" s="20">
        <f>IF(vente="oui",('Tresorerie autoconsomat'!E10-'Tresorerie autoconsomat'!F10),0)</f>
        <v>0</v>
      </c>
      <c r="H10" s="24">
        <f t="shared" si="4"/>
        <v>0</v>
      </c>
      <c r="I10" s="24">
        <f t="shared" si="5"/>
        <v>2370.0248085456246</v>
      </c>
      <c r="J10" s="24">
        <f>'Calcul intérêts '!$C$12</f>
        <v>0</v>
      </c>
      <c r="K10" s="25">
        <f t="shared" si="2"/>
        <v>2370.0248085456246</v>
      </c>
      <c r="L10" s="27">
        <f t="shared" si="6"/>
        <v>8.9982585460799999E-2</v>
      </c>
      <c r="M10" s="26">
        <f t="shared" si="7"/>
        <v>2194.3096945242187</v>
      </c>
      <c r="N10" s="26">
        <f t="shared" si="8"/>
        <v>936.23880299699999</v>
      </c>
      <c r="O10" s="32">
        <f>IF(Hypothèses!$C$11="oui",0,((L10*F10)-K10)+(M10+N10))</f>
        <v>9536.064116308371</v>
      </c>
      <c r="P10" s="28">
        <f t="shared" si="11"/>
        <v>0</v>
      </c>
      <c r="Q10" s="29">
        <f>IF(Hypothèses!$C$11="OUI",'Tresorerie autoconsomat'!E10*'Tresorerie autoconsomat'!P10,P10*G10)</f>
        <v>0</v>
      </c>
      <c r="R10" s="30">
        <f t="shared" si="3"/>
        <v>-59426.04360868784</v>
      </c>
    </row>
    <row r="11" spans="2:18" ht="17.25" customHeight="1" outlineLevel="1">
      <c r="B11" s="38">
        <v>7</v>
      </c>
      <c r="C11" s="18">
        <f t="shared" si="0"/>
        <v>100000</v>
      </c>
      <c r="D11" s="21">
        <f t="shared" si="9"/>
        <v>5.0000000000000001E-3</v>
      </c>
      <c r="E11" s="20">
        <f t="shared" si="10"/>
        <v>97037.250935626565</v>
      </c>
      <c r="F11" s="20">
        <f t="shared" si="1"/>
        <v>97037.250935626565</v>
      </c>
      <c r="G11" s="20">
        <f>IF(vente="oui",('Tresorerie autoconsomat'!E11-'Tresorerie autoconsomat'!F11),0)</f>
        <v>0</v>
      </c>
      <c r="H11" s="24">
        <f t="shared" si="4"/>
        <v>0</v>
      </c>
      <c r="I11" s="24">
        <f t="shared" si="5"/>
        <v>2405.575180673809</v>
      </c>
      <c r="J11" s="24">
        <f>'Calcul intérêts '!$C$12</f>
        <v>0</v>
      </c>
      <c r="K11" s="25">
        <f t="shared" si="2"/>
        <v>2405.575180673809</v>
      </c>
      <c r="L11" s="27">
        <f t="shared" si="6"/>
        <v>9.1782237170016004E-2</v>
      </c>
      <c r="M11" s="26">
        <f t="shared" si="7"/>
        <v>2183.3381460515975</v>
      </c>
      <c r="N11" s="26">
        <f t="shared" si="8"/>
        <v>931.55760898201493</v>
      </c>
      <c r="O11" s="32">
        <f>IF(Hypothèses!$C$11="oui",0,((L11*F11)-K11)+(M11+N11))</f>
        <v>9615.6165540598377</v>
      </c>
      <c r="P11" s="28">
        <f t="shared" si="11"/>
        <v>0</v>
      </c>
      <c r="Q11" s="29">
        <f>IF(Hypothèses!$C$11="OUI",'Tresorerie autoconsomat'!E11*'Tresorerie autoconsomat'!P11,P11*G11)</f>
        <v>0</v>
      </c>
      <c r="R11" s="30">
        <f t="shared" si="3"/>
        <v>-49810.427054628002</v>
      </c>
    </row>
    <row r="12" spans="2:18" ht="17.25" customHeight="1" outlineLevel="1">
      <c r="B12" s="38">
        <v>8</v>
      </c>
      <c r="C12" s="18">
        <f t="shared" si="0"/>
        <v>100000</v>
      </c>
      <c r="D12" s="21">
        <f t="shared" si="9"/>
        <v>5.0000000000000001E-3</v>
      </c>
      <c r="E12" s="20">
        <f t="shared" si="10"/>
        <v>96552.064680948431</v>
      </c>
      <c r="F12" s="20">
        <f t="shared" si="1"/>
        <v>96552.064680948431</v>
      </c>
      <c r="G12" s="20">
        <f>IF(vente="oui",('Tresorerie autoconsomat'!E12-'Tresorerie autoconsomat'!F12),0)</f>
        <v>0</v>
      </c>
      <c r="H12" s="24">
        <f t="shared" si="4"/>
        <v>0</v>
      </c>
      <c r="I12" s="24">
        <f t="shared" si="5"/>
        <v>2441.658808383916</v>
      </c>
      <c r="J12" s="24">
        <f>'Calcul intérêts '!$C$12</f>
        <v>0</v>
      </c>
      <c r="K12" s="25">
        <f t="shared" si="2"/>
        <v>2441.658808383916</v>
      </c>
      <c r="L12" s="27">
        <f t="shared" si="6"/>
        <v>9.3617881913416329E-2</v>
      </c>
      <c r="M12" s="26">
        <f t="shared" si="7"/>
        <v>2172.4214553213396</v>
      </c>
      <c r="N12" s="26">
        <f t="shared" si="8"/>
        <v>926.89982093710489</v>
      </c>
      <c r="O12" s="32">
        <f>IF(Hypothèses!$C$11="oui",0,((L12*F12)-K12)+(M12+N12))</f>
        <v>9696.6622576720947</v>
      </c>
      <c r="P12" s="28">
        <f t="shared" si="11"/>
        <v>0</v>
      </c>
      <c r="Q12" s="29">
        <f>IF(Hypothèses!$C$11="OUI",'Tresorerie autoconsomat'!E12*'Tresorerie autoconsomat'!P12,P12*G12)</f>
        <v>0</v>
      </c>
      <c r="R12" s="30">
        <f t="shared" si="3"/>
        <v>-40113.764796955904</v>
      </c>
    </row>
    <row r="13" spans="2:18" ht="17.25" customHeight="1" outlineLevel="1">
      <c r="B13" s="38">
        <v>9</v>
      </c>
      <c r="C13" s="18">
        <f t="shared" si="0"/>
        <v>100000</v>
      </c>
      <c r="D13" s="21">
        <f t="shared" si="9"/>
        <v>5.0000000000000001E-3</v>
      </c>
      <c r="E13" s="20">
        <f t="shared" si="10"/>
        <v>96069.30435754369</v>
      </c>
      <c r="F13" s="20">
        <f t="shared" si="1"/>
        <v>96069.30435754369</v>
      </c>
      <c r="G13" s="20">
        <f>IF(vente="oui",('Tresorerie autoconsomat'!E13-'Tresorerie autoconsomat'!F13),0)</f>
        <v>0</v>
      </c>
      <c r="H13" s="24">
        <f t="shared" si="4"/>
        <v>0</v>
      </c>
      <c r="I13" s="24">
        <f t="shared" si="5"/>
        <v>2478.2836905096747</v>
      </c>
      <c r="J13" s="24">
        <f>'Calcul intérêts '!$C$12</f>
        <v>0</v>
      </c>
      <c r="K13" s="25">
        <f t="shared" si="2"/>
        <v>2478.2836905096747</v>
      </c>
      <c r="L13" s="27">
        <f t="shared" si="6"/>
        <v>9.5490239551684661E-2</v>
      </c>
      <c r="M13" s="26">
        <f t="shared" si="7"/>
        <v>2161.5593480447328</v>
      </c>
      <c r="N13" s="26">
        <f t="shared" si="8"/>
        <v>922.26532183241932</v>
      </c>
      <c r="O13" s="32">
        <f>IF(Hypothèses!$C$11="oui",0,((L13*F13)-K13)+(M13+N13))</f>
        <v>9779.2218660330273</v>
      </c>
      <c r="P13" s="28">
        <f t="shared" si="11"/>
        <v>0</v>
      </c>
      <c r="Q13" s="29">
        <f>IF(Hypothèses!$C$11="OUI",'Tresorerie autoconsomat'!E13*'Tresorerie autoconsomat'!P13,P13*G13)</f>
        <v>0</v>
      </c>
      <c r="R13" s="30">
        <f t="shared" si="3"/>
        <v>-30334.542930922878</v>
      </c>
    </row>
    <row r="14" spans="2:18" ht="17.25" customHeight="1" outlineLevel="1">
      <c r="B14" s="38">
        <v>10</v>
      </c>
      <c r="C14" s="18">
        <f t="shared" si="0"/>
        <v>100000</v>
      </c>
      <c r="D14" s="21">
        <f t="shared" si="9"/>
        <v>5.0000000000000001E-3</v>
      </c>
      <c r="E14" s="20">
        <f t="shared" si="10"/>
        <v>95588.957835755966</v>
      </c>
      <c r="F14" s="20">
        <f t="shared" si="1"/>
        <v>95588.957835755966</v>
      </c>
      <c r="G14" s="20">
        <f>IF(vente="oui",('Tresorerie autoconsomat'!E14-'Tresorerie autoconsomat'!F14),0)</f>
        <v>0</v>
      </c>
      <c r="H14" s="24">
        <f t="shared" si="4"/>
        <v>0</v>
      </c>
      <c r="I14" s="24">
        <f t="shared" si="5"/>
        <v>2515.4579458673197</v>
      </c>
      <c r="J14" s="24">
        <f>'Calcul intérêts '!$C$12</f>
        <v>0</v>
      </c>
      <c r="K14" s="25">
        <f t="shared" si="2"/>
        <v>2515.4579458673197</v>
      </c>
      <c r="L14" s="27">
        <f t="shared" si="6"/>
        <v>9.7400044342718359E-2</v>
      </c>
      <c r="M14" s="26">
        <f t="shared" si="7"/>
        <v>2150.7515513045091</v>
      </c>
      <c r="N14" s="26">
        <f t="shared" si="8"/>
        <v>917.6539952232572</v>
      </c>
      <c r="O14" s="32">
        <f>IF(Hypothèses!$C$11="oui",0,((L14*F14)-K14)+(M14+N14))</f>
        <v>9863.3163325373134</v>
      </c>
      <c r="P14" s="28">
        <f t="shared" si="11"/>
        <v>0</v>
      </c>
      <c r="Q14" s="29">
        <f>IF(Hypothèses!$C$11="OUI",'Tresorerie autoconsomat'!E14*'Tresorerie autoconsomat'!P14,P14*G14)</f>
        <v>0</v>
      </c>
      <c r="R14" s="30">
        <f t="shared" si="3"/>
        <v>-20471.226598385565</v>
      </c>
    </row>
    <row r="15" spans="2:18" ht="17.25" customHeight="1" outlineLevel="1">
      <c r="B15" s="38">
        <v>11</v>
      </c>
      <c r="C15" s="18">
        <f t="shared" si="0"/>
        <v>100000</v>
      </c>
      <c r="D15" s="21">
        <f t="shared" si="9"/>
        <v>5.0000000000000001E-3</v>
      </c>
      <c r="E15" s="20">
        <f t="shared" si="10"/>
        <v>95111.01304657718</v>
      </c>
      <c r="F15" s="20">
        <f t="shared" si="1"/>
        <v>95111.01304657718</v>
      </c>
      <c r="G15" s="20">
        <f>IF(vente="oui",('Tresorerie autoconsomat'!E15-'Tresorerie autoconsomat'!F15),0)</f>
        <v>0</v>
      </c>
      <c r="H15" s="24">
        <f t="shared" si="4"/>
        <v>0</v>
      </c>
      <c r="I15" s="24">
        <f t="shared" si="5"/>
        <v>2553.1898150553297</v>
      </c>
      <c r="J15" s="24">
        <f>'Calcul intérêts '!$C$12</f>
        <v>0</v>
      </c>
      <c r="K15" s="25">
        <f t="shared" si="2"/>
        <v>2553.1898150553297</v>
      </c>
      <c r="L15" s="27">
        <f t="shared" si="6"/>
        <v>9.9348045229572732E-2</v>
      </c>
      <c r="M15" s="26">
        <f t="shared" si="7"/>
        <v>2139.9977935479865</v>
      </c>
      <c r="N15" s="26">
        <f t="shared" si="8"/>
        <v>913.0657252471409</v>
      </c>
      <c r="O15" s="32">
        <f>IF(Hypothèses!$C$11="oui",0,((L15*F15)-K15)+(M15+N15))</f>
        <v>9948.9669297216278</v>
      </c>
      <c r="P15" s="28">
        <f t="shared" si="11"/>
        <v>0</v>
      </c>
      <c r="Q15" s="29">
        <f>IF(Hypothèses!$C$11="OUI",'Tresorerie autoconsomat'!E15*'Tresorerie autoconsomat'!P15,P15*G15)</f>
        <v>0</v>
      </c>
      <c r="R15" s="30">
        <f t="shared" si="3"/>
        <v>-10522.259668663937</v>
      </c>
    </row>
    <row r="16" spans="2:18" ht="17.25" customHeight="1" outlineLevel="1">
      <c r="B16" s="38">
        <v>12</v>
      </c>
      <c r="C16" s="18">
        <f t="shared" si="0"/>
        <v>100000</v>
      </c>
      <c r="D16" s="21">
        <f t="shared" si="9"/>
        <v>5.0000000000000001E-3</v>
      </c>
      <c r="E16" s="20">
        <f t="shared" si="10"/>
        <v>94635.457981344298</v>
      </c>
      <c r="F16" s="20">
        <f t="shared" si="1"/>
        <v>94635.457981344298</v>
      </c>
      <c r="G16" s="20">
        <f>IF(vente="oui",('Tresorerie autoconsomat'!E16-'Tresorerie autoconsomat'!F16),0)</f>
        <v>0</v>
      </c>
      <c r="H16" s="24">
        <f t="shared" si="4"/>
        <v>0</v>
      </c>
      <c r="I16" s="24">
        <f t="shared" si="5"/>
        <v>2591.4876622811598</v>
      </c>
      <c r="J16" s="24">
        <f>'Calcul intérêts '!$C$12</f>
        <v>0</v>
      </c>
      <c r="K16" s="25">
        <f t="shared" si="2"/>
        <v>2591.4876622811598</v>
      </c>
      <c r="L16" s="27">
        <f t="shared" si="6"/>
        <v>0.10133500613416419</v>
      </c>
      <c r="M16" s="26">
        <f t="shared" si="7"/>
        <v>2129.2978045802465</v>
      </c>
      <c r="N16" s="26">
        <f t="shared" si="8"/>
        <v>908.50039662090524</v>
      </c>
      <c r="O16" s="32">
        <f>IF(Hypothèses!$C$11="oui",0,((L16*F16)-K16)+(M16+N16))</f>
        <v>10036.195253968954</v>
      </c>
      <c r="P16" s="28">
        <f t="shared" si="11"/>
        <v>0</v>
      </c>
      <c r="Q16" s="29">
        <f>IF(Hypothèses!$C$11="OUI",'Tresorerie autoconsomat'!E16*'Tresorerie autoconsomat'!P16,P16*G16)</f>
        <v>0</v>
      </c>
      <c r="R16" s="30">
        <f t="shared" si="3"/>
        <v>-486.0644146949835</v>
      </c>
    </row>
    <row r="17" spans="2:18" ht="17.25" customHeight="1" outlineLevel="1">
      <c r="B17" s="38">
        <v>13</v>
      </c>
      <c r="C17" s="18">
        <f t="shared" si="0"/>
        <v>100000</v>
      </c>
      <c r="D17" s="21">
        <f t="shared" si="9"/>
        <v>5.0000000000000001E-3</v>
      </c>
      <c r="E17" s="20">
        <f t="shared" si="10"/>
        <v>94162.280691437569</v>
      </c>
      <c r="F17" s="20">
        <f t="shared" si="1"/>
        <v>94162.280691437569</v>
      </c>
      <c r="G17" s="20">
        <f>IF(vente="oui",('Tresorerie autoconsomat'!E17-'Tresorerie autoconsomat'!F17),0)</f>
        <v>0</v>
      </c>
      <c r="H17" s="24">
        <f t="shared" si="4"/>
        <v>0</v>
      </c>
      <c r="I17" s="24">
        <f t="shared" si="5"/>
        <v>2630.3599772153771</v>
      </c>
      <c r="J17" s="24">
        <f>'Calcul intérêts '!$C$12</f>
        <v>0</v>
      </c>
      <c r="K17" s="25">
        <f t="shared" si="2"/>
        <v>2630.3599772153771</v>
      </c>
      <c r="L17" s="27">
        <f t="shared" si="6"/>
        <v>0.10336170625684747</v>
      </c>
      <c r="M17" s="26">
        <f t="shared" si="7"/>
        <v>2118.6513155573452</v>
      </c>
      <c r="N17" s="26">
        <f t="shared" si="8"/>
        <v>903.95789463780056</v>
      </c>
      <c r="O17" s="32">
        <f>IF(Hypothèses!$C$11="oui",0,((L17*F17)-K17)+(M17+N17))</f>
        <v>10125.023230282959</v>
      </c>
      <c r="P17" s="28">
        <f t="shared" si="11"/>
        <v>0</v>
      </c>
      <c r="Q17" s="29">
        <f>IF(Hypothèses!$C$11="OUI",'Tresorerie autoconsomat'!E17*'Tresorerie autoconsomat'!P17,P17*G17)</f>
        <v>0</v>
      </c>
      <c r="R17" s="30">
        <f t="shared" si="3"/>
        <v>9638.9588155879756</v>
      </c>
    </row>
    <row r="18" spans="2:18" ht="17.25" customHeight="1" outlineLevel="1">
      <c r="B18" s="38">
        <v>14</v>
      </c>
      <c r="C18" s="18">
        <f t="shared" si="0"/>
        <v>100000</v>
      </c>
      <c r="D18" s="21">
        <f t="shared" si="9"/>
        <v>5.0000000000000001E-3</v>
      </c>
      <c r="E18" s="20">
        <f t="shared" si="10"/>
        <v>93691.469287980377</v>
      </c>
      <c r="F18" s="20">
        <f t="shared" si="1"/>
        <v>93691.469287980377</v>
      </c>
      <c r="G18" s="20">
        <f>IF(vente="oui",('Tresorerie autoconsomat'!E18-'Tresorerie autoconsomat'!F18),0)</f>
        <v>0</v>
      </c>
      <c r="H18" s="24">
        <f t="shared" si="4"/>
        <v>0</v>
      </c>
      <c r="I18" s="24">
        <f t="shared" si="5"/>
        <v>2669.8153768736079</v>
      </c>
      <c r="J18" s="24">
        <f>'Calcul intérêts '!$C$12</f>
        <v>0</v>
      </c>
      <c r="K18" s="25">
        <f t="shared" si="2"/>
        <v>2669.8153768736079</v>
      </c>
      <c r="L18" s="27">
        <f t="shared" si="6"/>
        <v>0.10542894038198442</v>
      </c>
      <c r="M18" s="26">
        <f t="shared" si="7"/>
        <v>2108.0580589795586</v>
      </c>
      <c r="N18" s="26">
        <f t="shared" si="8"/>
        <v>899.43810516461156</v>
      </c>
      <c r="O18" s="32">
        <f>IF(Hypothèses!$C$11="oui",0,((L18*F18)-K18)+(M18+N18))</f>
        <v>10215.473117133568</v>
      </c>
      <c r="P18" s="28">
        <f t="shared" si="11"/>
        <v>0</v>
      </c>
      <c r="Q18" s="29">
        <f>IF(Hypothèses!$C$11="OUI",'Tresorerie autoconsomat'!E18*'Tresorerie autoconsomat'!P18,P18*G18)</f>
        <v>0</v>
      </c>
      <c r="R18" s="30">
        <f t="shared" si="3"/>
        <v>19854.431932721542</v>
      </c>
    </row>
    <row r="19" spans="2:18" ht="17.25" customHeight="1" outlineLevel="1">
      <c r="B19" s="38">
        <v>15</v>
      </c>
      <c r="C19" s="18">
        <f t="shared" si="0"/>
        <v>100000</v>
      </c>
      <c r="D19" s="21">
        <f t="shared" si="9"/>
        <v>5.0000000000000001E-3</v>
      </c>
      <c r="E19" s="20">
        <f t="shared" si="10"/>
        <v>93223.011941540477</v>
      </c>
      <c r="F19" s="20">
        <f t="shared" si="1"/>
        <v>93223.011941540477</v>
      </c>
      <c r="G19" s="20">
        <f>IF(vente="oui",('Tresorerie autoconsomat'!E19-'Tresorerie autoconsomat'!F19),0)</f>
        <v>0</v>
      </c>
      <c r="H19" s="24">
        <f t="shared" si="4"/>
        <v>0</v>
      </c>
      <c r="I19" s="24">
        <f t="shared" si="5"/>
        <v>2709.8626075267121</v>
      </c>
      <c r="J19" s="24">
        <f>'Calcul intérêts '!$C$12</f>
        <v>0</v>
      </c>
      <c r="K19" s="25">
        <f t="shared" si="2"/>
        <v>2709.8626075267121</v>
      </c>
      <c r="L19" s="27">
        <f t="shared" si="6"/>
        <v>0.10753751918962411</v>
      </c>
      <c r="M19" s="26">
        <f t="shared" si="7"/>
        <v>2097.5177686846605</v>
      </c>
      <c r="N19" s="26">
        <f t="shared" si="8"/>
        <v>894.94091463878851</v>
      </c>
      <c r="O19" s="32">
        <f>IF(Hypothèses!$C$11="oui",0,((L19*F19)-K19)+(M19+N19))</f>
        <v>10307.567511374704</v>
      </c>
      <c r="P19" s="28">
        <f t="shared" si="11"/>
        <v>0</v>
      </c>
      <c r="Q19" s="29">
        <f>IF(Hypothèses!$C$11="OUI",'Tresorerie autoconsomat'!E19*'Tresorerie autoconsomat'!P19,P19*G19)</f>
        <v>0</v>
      </c>
      <c r="R19" s="30">
        <f t="shared" si="3"/>
        <v>30161.999444096247</v>
      </c>
    </row>
    <row r="20" spans="2:18" ht="17.25" customHeight="1" outlineLevel="1">
      <c r="B20" s="38">
        <v>16</v>
      </c>
      <c r="C20" s="18">
        <f t="shared" si="0"/>
        <v>100000</v>
      </c>
      <c r="D20" s="21">
        <f t="shared" si="9"/>
        <v>5.0000000000000001E-3</v>
      </c>
      <c r="E20" s="20">
        <f t="shared" si="10"/>
        <v>92756.89688183277</v>
      </c>
      <c r="F20" s="20">
        <f t="shared" si="1"/>
        <v>92756.89688183277</v>
      </c>
      <c r="G20" s="20">
        <f>IF(vente="oui",('Tresorerie autoconsomat'!E20-'Tresorerie autoconsomat'!F20),0)</f>
        <v>0</v>
      </c>
      <c r="H20" s="24">
        <f t="shared" si="4"/>
        <v>0</v>
      </c>
      <c r="I20" s="24">
        <f t="shared" si="5"/>
        <v>2750.5105466396126</v>
      </c>
      <c r="J20" s="24"/>
      <c r="K20" s="25">
        <f t="shared" si="2"/>
        <v>2750.5105466396126</v>
      </c>
      <c r="L20" s="27">
        <f t="shared" si="6"/>
        <v>0.10968826957341658</v>
      </c>
      <c r="M20" s="26">
        <f t="shared" si="7"/>
        <v>2087.0301798412374</v>
      </c>
      <c r="N20" s="26">
        <f t="shared" si="8"/>
        <v>890.46621006559451</v>
      </c>
      <c r="O20" s="32">
        <f>IF(Hypothèses!$C$11="oui",0,((L20*F20)-K20)+(M20+N20))</f>
        <v>10401.329353235296</v>
      </c>
      <c r="P20" s="28">
        <f t="shared" si="11"/>
        <v>0</v>
      </c>
      <c r="Q20" s="29">
        <f>IF(Hypothèses!$C$11="OUI",'Tresorerie autoconsomat'!E20*'Tresorerie autoconsomat'!P20,P20*G20)</f>
        <v>0</v>
      </c>
      <c r="R20" s="30">
        <f t="shared" si="3"/>
        <v>40563.328797331546</v>
      </c>
    </row>
    <row r="21" spans="2:18" ht="17.25" customHeight="1" outlineLevel="1">
      <c r="B21" s="38">
        <v>17</v>
      </c>
      <c r="C21" s="18">
        <f t="shared" si="0"/>
        <v>100000</v>
      </c>
      <c r="D21" s="21">
        <f t="shared" si="9"/>
        <v>5.0000000000000001E-3</v>
      </c>
      <c r="E21" s="20">
        <f t="shared" si="10"/>
        <v>92293.112397423611</v>
      </c>
      <c r="F21" s="20">
        <f t="shared" si="1"/>
        <v>92293.112397423611</v>
      </c>
      <c r="G21" s="20">
        <f>IF(vente="oui",('Tresorerie autoconsomat'!E21-'Tresorerie autoconsomat'!F21),0)</f>
        <v>0</v>
      </c>
      <c r="H21" s="24">
        <f t="shared" si="4"/>
        <v>0</v>
      </c>
      <c r="I21" s="24">
        <f t="shared" si="5"/>
        <v>2791.7682048392066</v>
      </c>
      <c r="J21" s="24"/>
      <c r="K21" s="25">
        <f t="shared" si="2"/>
        <v>2791.7682048392066</v>
      </c>
      <c r="L21" s="27">
        <f t="shared" si="6"/>
        <v>0.11188203496488491</v>
      </c>
      <c r="M21" s="26">
        <f t="shared" si="7"/>
        <v>2076.5950289420311</v>
      </c>
      <c r="N21" s="26">
        <f t="shared" si="8"/>
        <v>886.01387901526664</v>
      </c>
      <c r="O21" s="32">
        <f>IF(Hypothèses!$C$11="oui",0,((L21*F21)-K21)+(M21+N21))</f>
        <v>10496.781931384692</v>
      </c>
      <c r="P21" s="28">
        <f t="shared" si="11"/>
        <v>0</v>
      </c>
      <c r="Q21" s="29">
        <f>IF(Hypothèses!$C$11="OUI",'Tresorerie autoconsomat'!E21*'Tresorerie autoconsomat'!P21,P21*G21)</f>
        <v>0</v>
      </c>
      <c r="R21" s="30">
        <f t="shared" si="3"/>
        <v>51060.110728716238</v>
      </c>
    </row>
    <row r="22" spans="2:18" ht="17.25" customHeight="1" outlineLevel="1">
      <c r="B22" s="38">
        <v>18</v>
      </c>
      <c r="C22" s="18">
        <f t="shared" si="0"/>
        <v>100000</v>
      </c>
      <c r="D22" s="21">
        <f t="shared" si="9"/>
        <v>5.0000000000000001E-3</v>
      </c>
      <c r="E22" s="20">
        <f t="shared" si="10"/>
        <v>91831.646835436492</v>
      </c>
      <c r="F22" s="20">
        <f t="shared" si="1"/>
        <v>91831.646835436492</v>
      </c>
      <c r="G22" s="20">
        <f>IF(vente="oui",('Tresorerie autoconsomat'!E22-'Tresorerie autoconsomat'!F22),0)</f>
        <v>0</v>
      </c>
      <c r="H22" s="24">
        <f t="shared" si="4"/>
        <v>0</v>
      </c>
      <c r="I22" s="24">
        <f t="shared" si="5"/>
        <v>2833.6447279117947</v>
      </c>
      <c r="J22" s="24"/>
      <c r="K22" s="25">
        <f t="shared" si="2"/>
        <v>2833.6447279117947</v>
      </c>
      <c r="L22" s="27">
        <f t="shared" si="6"/>
        <v>0.11411967566418262</v>
      </c>
      <c r="M22" s="26">
        <f t="shared" si="7"/>
        <v>2066.212053797321</v>
      </c>
      <c r="N22" s="26">
        <f t="shared" si="8"/>
        <v>881.58380962019021</v>
      </c>
      <c r="O22" s="32">
        <f>IF(Hypothèses!$C$11="oui",0,((L22*F22)-K22)+(M22+N22))</f>
        <v>10593.94888807349</v>
      </c>
      <c r="P22" s="28">
        <f t="shared" si="11"/>
        <v>0</v>
      </c>
      <c r="Q22" s="29">
        <f>IF(Hypothèses!$C$11="OUI",'Tresorerie autoconsomat'!E22*'Tresorerie autoconsomat'!P22,P22*G22)</f>
        <v>0</v>
      </c>
      <c r="R22" s="30">
        <f t="shared" si="3"/>
        <v>61654.059616789731</v>
      </c>
    </row>
    <row r="23" spans="2:18" ht="17.25" customHeight="1" outlineLevel="1">
      <c r="B23" s="38">
        <v>19</v>
      </c>
      <c r="C23" s="18">
        <f t="shared" si="0"/>
        <v>100000</v>
      </c>
      <c r="D23" s="21">
        <f t="shared" si="9"/>
        <v>5.0000000000000001E-3</v>
      </c>
      <c r="E23" s="20">
        <f t="shared" si="10"/>
        <v>91372.488601259305</v>
      </c>
      <c r="F23" s="20">
        <f t="shared" si="1"/>
        <v>91372.488601259305</v>
      </c>
      <c r="G23" s="20">
        <f>IF(vente="oui",('Tresorerie autoconsomat'!E23-'Tresorerie autoconsomat'!F23),0)</f>
        <v>0</v>
      </c>
      <c r="H23" s="24">
        <f t="shared" si="4"/>
        <v>0</v>
      </c>
      <c r="I23" s="24">
        <f t="shared" si="5"/>
        <v>2876.1493988304715</v>
      </c>
      <c r="J23" s="24"/>
      <c r="K23" s="25">
        <f t="shared" si="2"/>
        <v>2876.1493988304715</v>
      </c>
      <c r="L23" s="27">
        <f t="shared" si="6"/>
        <v>0.11640206917746626</v>
      </c>
      <c r="M23" s="26">
        <f t="shared" si="7"/>
        <v>2055.8809935283343</v>
      </c>
      <c r="N23" s="26">
        <f t="shared" si="8"/>
        <v>877.1758905720892</v>
      </c>
      <c r="O23" s="32">
        <f>IF(Hypothèses!$C$11="oui",0,((L23*F23)-K23)+(M23+N23))</f>
        <v>10692.854224350984</v>
      </c>
      <c r="P23" s="28">
        <f t="shared" si="11"/>
        <v>0</v>
      </c>
      <c r="Q23" s="29">
        <f>IF(Hypothèses!$C$11="OUI",'Tresorerie autoconsomat'!E23*'Tresorerie autoconsomat'!P23,P23*G23)</f>
        <v>0</v>
      </c>
      <c r="R23" s="30">
        <f t="shared" si="3"/>
        <v>72346.913841140718</v>
      </c>
    </row>
    <row r="24" spans="2:18" ht="17.25" customHeight="1" outlineLevel="1">
      <c r="B24" s="38">
        <v>20</v>
      </c>
      <c r="C24" s="18">
        <f t="shared" si="0"/>
        <v>100000</v>
      </c>
      <c r="D24" s="21">
        <f t="shared" si="9"/>
        <v>5.0000000000000001E-3</v>
      </c>
      <c r="E24" s="20">
        <f t="shared" si="10"/>
        <v>90915.626158253013</v>
      </c>
      <c r="F24" s="20">
        <f t="shared" si="1"/>
        <v>90915.626158253013</v>
      </c>
      <c r="G24" s="20">
        <f>IF(vente="oui",('Tresorerie autoconsomat'!E24-'Tresorerie autoconsomat'!F24),0)</f>
        <v>0</v>
      </c>
      <c r="H24" s="24">
        <f t="shared" si="4"/>
        <v>0</v>
      </c>
      <c r="I24" s="24">
        <f t="shared" si="5"/>
        <v>2919.2916398129287</v>
      </c>
      <c r="J24" s="24"/>
      <c r="K24" s="25">
        <f t="shared" si="2"/>
        <v>2919.2916398129287</v>
      </c>
      <c r="L24" s="27">
        <f t="shared" si="6"/>
        <v>0.11873011056101558</v>
      </c>
      <c r="M24" s="26">
        <f t="shared" si="7"/>
        <v>2045.6015885606928</v>
      </c>
      <c r="N24" s="26">
        <f t="shared" si="8"/>
        <v>872.79001111922889</v>
      </c>
      <c r="O24" s="32">
        <f>IF(Hypothèses!$C$11="oui",0,((L24*F24)-K24)+(M24+N24))</f>
        <v>10793.522305360333</v>
      </c>
      <c r="P24" s="28">
        <f t="shared" si="11"/>
        <v>0</v>
      </c>
      <c r="Q24" s="29">
        <f>IF(Hypothèses!$C$11="OUI",'Tresorerie autoconsomat'!E24*'Tresorerie autoconsomat'!P24,P24*G24)</f>
        <v>0</v>
      </c>
      <c r="R24" s="30">
        <f t="shared" si="3"/>
        <v>83140.436146501044</v>
      </c>
    </row>
    <row r="25" spans="2:18" ht="17.25" customHeight="1" outlineLevel="1">
      <c r="B25" s="38">
        <v>21</v>
      </c>
      <c r="C25" s="18">
        <f t="shared" si="0"/>
        <v>100000</v>
      </c>
      <c r="D25" s="21">
        <f t="shared" si="9"/>
        <v>5.0000000000000001E-3</v>
      </c>
      <c r="E25" s="20">
        <f t="shared" si="10"/>
        <v>90461.048027461744</v>
      </c>
      <c r="F25" s="20">
        <f t="shared" si="1"/>
        <v>90461.048027461744</v>
      </c>
      <c r="G25" s="20"/>
      <c r="H25" s="24">
        <f t="shared" si="4"/>
        <v>0</v>
      </c>
      <c r="I25" s="24">
        <f t="shared" si="5"/>
        <v>2963.0810144101224</v>
      </c>
      <c r="J25" s="24"/>
      <c r="K25" s="25">
        <f t="shared" si="2"/>
        <v>2963.0810144101224</v>
      </c>
      <c r="L25" s="27">
        <f t="shared" si="6"/>
        <v>0.12110471277223589</v>
      </c>
      <c r="M25" s="26">
        <f t="shared" si="7"/>
        <v>2035.3735806178893</v>
      </c>
      <c r="N25" s="26">
        <f t="shared" si="8"/>
        <v>868.42606106363269</v>
      </c>
      <c r="O25" s="32">
        <f>IF(Hypothèses!$C$11="oui",0,((L25*F25)-K25)+(M25+N25))</f>
        <v>10895.97786571259</v>
      </c>
      <c r="P25" s="28"/>
      <c r="Q25" s="29"/>
      <c r="R25" s="30">
        <f t="shared" si="3"/>
        <v>94036.41401221363</v>
      </c>
    </row>
    <row r="26" spans="2:18" ht="17.25" customHeight="1" outlineLevel="1">
      <c r="B26" s="38">
        <v>22</v>
      </c>
      <c r="C26" s="18">
        <f t="shared" si="0"/>
        <v>100000</v>
      </c>
      <c r="D26" s="21">
        <f t="shared" si="9"/>
        <v>5.0000000000000001E-3</v>
      </c>
      <c r="E26" s="20">
        <f t="shared" si="10"/>
        <v>90008.742787324431</v>
      </c>
      <c r="F26" s="20">
        <f t="shared" si="1"/>
        <v>90008.742787324431</v>
      </c>
      <c r="G26" s="20"/>
      <c r="H26" s="24">
        <f t="shared" si="4"/>
        <v>0</v>
      </c>
      <c r="I26" s="24">
        <f t="shared" si="5"/>
        <v>3007.5272296262742</v>
      </c>
      <c r="J26" s="24"/>
      <c r="K26" s="25">
        <f t="shared" si="2"/>
        <v>3007.5272296262742</v>
      </c>
      <c r="L26" s="27">
        <f t="shared" si="6"/>
        <v>0.12352680702768061</v>
      </c>
      <c r="M26" s="26">
        <f t="shared" si="7"/>
        <v>2025.1967127147996</v>
      </c>
      <c r="N26" s="26">
        <f t="shared" si="8"/>
        <v>864.08393075831441</v>
      </c>
      <c r="O26" s="32">
        <f>IF(Hypothèses!$C$11="oui",0,((L26*F26)-K26)+(M26+N26))</f>
        <v>11000.246014940803</v>
      </c>
      <c r="P26" s="28"/>
      <c r="Q26" s="29"/>
      <c r="R26" s="30">
        <f t="shared" si="3"/>
        <v>105036.66002715443</v>
      </c>
    </row>
    <row r="27" spans="2:18" ht="17.25" customHeight="1" outlineLevel="1">
      <c r="B27" s="38">
        <v>23</v>
      </c>
      <c r="C27" s="18">
        <f t="shared" si="0"/>
        <v>100000</v>
      </c>
      <c r="D27" s="21">
        <f t="shared" si="9"/>
        <v>5.0000000000000001E-3</v>
      </c>
      <c r="E27" s="20">
        <f t="shared" si="10"/>
        <v>89558.699073387805</v>
      </c>
      <c r="F27" s="20">
        <f t="shared" si="1"/>
        <v>89558.699073387805</v>
      </c>
      <c r="G27" s="20"/>
      <c r="H27" s="24">
        <f t="shared" si="4"/>
        <v>0</v>
      </c>
      <c r="I27" s="24">
        <f t="shared" si="5"/>
        <v>3052.6401380706684</v>
      </c>
      <c r="J27" s="24"/>
      <c r="K27" s="25">
        <f t="shared" si="2"/>
        <v>3052.6401380706684</v>
      </c>
      <c r="L27" s="27">
        <f t="shared" si="6"/>
        <v>0.12599734316823422</v>
      </c>
      <c r="M27" s="26">
        <f t="shared" si="7"/>
        <v>2015.0707291512256</v>
      </c>
      <c r="N27" s="26">
        <f t="shared" si="8"/>
        <v>859.76351110452288</v>
      </c>
      <c r="O27" s="32">
        <f>IF(Hypothèses!$C$11="oui",0,((L27*F27)-K27)+(M27+N27))</f>
        <v>11106.352243035342</v>
      </c>
      <c r="P27" s="28"/>
      <c r="Q27" s="29"/>
      <c r="R27" s="30">
        <f t="shared" si="3"/>
        <v>116143.01227018978</v>
      </c>
    </row>
    <row r="28" spans="2:18" ht="17.25" customHeight="1" outlineLevel="1">
      <c r="B28" s="38">
        <v>24</v>
      </c>
      <c r="C28" s="18">
        <f t="shared" si="0"/>
        <v>100000</v>
      </c>
      <c r="D28" s="21">
        <f t="shared" si="9"/>
        <v>5.0000000000000001E-3</v>
      </c>
      <c r="E28" s="20">
        <f t="shared" si="10"/>
        <v>89110.905578020858</v>
      </c>
      <c r="F28" s="20">
        <f t="shared" si="1"/>
        <v>89110.905578020858</v>
      </c>
      <c r="G28" s="20"/>
      <c r="H28" s="24">
        <f t="shared" si="4"/>
        <v>0</v>
      </c>
      <c r="I28" s="24">
        <f t="shared" si="5"/>
        <v>3098.4297401417284</v>
      </c>
      <c r="J28" s="24"/>
      <c r="K28" s="25">
        <f t="shared" si="2"/>
        <v>3098.4297401417284</v>
      </c>
      <c r="L28" s="27">
        <f t="shared" si="6"/>
        <v>0.1285172900315989</v>
      </c>
      <c r="M28" s="26">
        <f t="shared" si="7"/>
        <v>2004.9953755054692</v>
      </c>
      <c r="N28" s="26">
        <f t="shared" si="8"/>
        <v>855.46469354900012</v>
      </c>
      <c r="O28" s="32">
        <f>IF(Hypothèses!$C$11="oui",0,((L28*F28)-K28)+(M28+N28))</f>
        <v>11214.322426061673</v>
      </c>
      <c r="P28" s="28"/>
      <c r="Q28" s="29"/>
      <c r="R28" s="30">
        <f t="shared" si="3"/>
        <v>127357.33469625145</v>
      </c>
    </row>
    <row r="29" spans="2:18" ht="17.25" customHeight="1" outlineLevel="1">
      <c r="B29" s="38">
        <v>25</v>
      </c>
      <c r="C29" s="18">
        <f t="shared" si="0"/>
        <v>100000</v>
      </c>
      <c r="D29" s="21">
        <f t="shared" si="9"/>
        <v>5.0000000000000001E-3</v>
      </c>
      <c r="E29" s="20">
        <f t="shared" si="10"/>
        <v>88665.351050130746</v>
      </c>
      <c r="F29" s="20">
        <f t="shared" si="1"/>
        <v>88665.351050130746</v>
      </c>
      <c r="G29" s="20"/>
      <c r="H29" s="24">
        <f t="shared" si="4"/>
        <v>0</v>
      </c>
      <c r="I29" s="24">
        <f t="shared" si="5"/>
        <v>3144.9061862438543</v>
      </c>
      <c r="J29" s="106"/>
      <c r="K29" s="25">
        <f t="shared" si="2"/>
        <v>3144.9061862438543</v>
      </c>
      <c r="L29" s="27">
        <f t="shared" si="6"/>
        <v>0.13108763583223088</v>
      </c>
      <c r="M29" s="26">
        <f t="shared" si="7"/>
        <v>1994.9703986279417</v>
      </c>
      <c r="N29" s="26">
        <f t="shared" si="8"/>
        <v>851.18737008125504</v>
      </c>
      <c r="O29" s="32">
        <f>IF(Hypothèses!$C$11="oui",0,((L29*F29)-K29)+(M29+N29))</f>
        <v>11324.182831861792</v>
      </c>
      <c r="P29" s="28"/>
      <c r="Q29" s="29"/>
      <c r="R29" s="30">
        <f t="shared" si="3"/>
        <v>138681.51752811324</v>
      </c>
    </row>
    <row r="30" spans="2:18" ht="17.25" customHeight="1" outlineLevel="1">
      <c r="B30" s="38">
        <v>26</v>
      </c>
      <c r="C30" s="18">
        <f t="shared" si="0"/>
        <v>100000</v>
      </c>
      <c r="D30" s="21">
        <f t="shared" si="9"/>
        <v>5.0000000000000001E-3</v>
      </c>
      <c r="E30" s="20">
        <f t="shared" si="10"/>
        <v>88222.024294880088</v>
      </c>
      <c r="F30" s="20">
        <f t="shared" si="1"/>
        <v>88222.024294880088</v>
      </c>
      <c r="G30" s="20"/>
      <c r="H30" s="24">
        <f t="shared" si="4"/>
        <v>0</v>
      </c>
      <c r="I30" s="24">
        <f t="shared" si="5"/>
        <v>3192.0797790375123</v>
      </c>
      <c r="J30" s="106"/>
      <c r="K30" s="25">
        <f t="shared" si="2"/>
        <v>3192.0797790375123</v>
      </c>
      <c r="L30" s="27">
        <f t="shared" si="6"/>
        <v>0.13370938854887549</v>
      </c>
      <c r="M30" s="26">
        <f t="shared" si="7"/>
        <v>1984.9955466348019</v>
      </c>
      <c r="N30" s="26">
        <f t="shared" si="8"/>
        <v>846.93143323084882</v>
      </c>
      <c r="O30" s="32">
        <f>IF(Hypothèses!$C$11="oui",0,((L30*F30)-K30)+(M30+N30))</f>
        <v>11435.960125840593</v>
      </c>
      <c r="P30" s="28"/>
      <c r="Q30" s="29"/>
      <c r="R30" s="30">
        <f t="shared" si="3"/>
        <v>150117.47765395383</v>
      </c>
    </row>
    <row r="31" spans="2:18" ht="17.25" customHeight="1" outlineLevel="1">
      <c r="B31" s="38">
        <v>27</v>
      </c>
      <c r="C31" s="18">
        <f t="shared" si="0"/>
        <v>100000</v>
      </c>
      <c r="D31" s="21">
        <f t="shared" si="9"/>
        <v>5.0000000000000001E-3</v>
      </c>
      <c r="E31" s="20">
        <f t="shared" si="10"/>
        <v>87780.91417340569</v>
      </c>
      <c r="F31" s="20">
        <f t="shared" si="1"/>
        <v>87780.91417340569</v>
      </c>
      <c r="G31" s="20"/>
      <c r="H31" s="24">
        <f t="shared" si="4"/>
        <v>0</v>
      </c>
      <c r="I31" s="24">
        <f t="shared" si="5"/>
        <v>3239.9609757230751</v>
      </c>
      <c r="J31" s="106"/>
      <c r="K31" s="25">
        <f t="shared" si="2"/>
        <v>3239.9609757230751</v>
      </c>
      <c r="L31" s="27">
        <f t="shared" si="6"/>
        <v>0.13638357631985298</v>
      </c>
      <c r="M31" s="26">
        <f t="shared" si="7"/>
        <v>1975.0705689016279</v>
      </c>
      <c r="N31" s="26">
        <f t="shared" si="8"/>
        <v>842.69677606469452</v>
      </c>
      <c r="O31" s="32">
        <f>IF(Hypothèses!$C$11="oui",0,((L31*F31)-K31)+(M31+N31))</f>
        <v>11549.681376838387</v>
      </c>
      <c r="P31" s="28"/>
      <c r="Q31" s="29"/>
      <c r="R31" s="30">
        <f t="shared" si="3"/>
        <v>161667.15903079222</v>
      </c>
    </row>
    <row r="32" spans="2:18" ht="17.25" customHeight="1" outlineLevel="1">
      <c r="B32" s="38">
        <v>28</v>
      </c>
      <c r="C32" s="18">
        <f t="shared" si="0"/>
        <v>100000</v>
      </c>
      <c r="D32" s="21">
        <f t="shared" si="9"/>
        <v>5.0000000000000001E-3</v>
      </c>
      <c r="E32" s="20">
        <f t="shared" si="10"/>
        <v>87342.009602538659</v>
      </c>
      <c r="F32" s="20">
        <f t="shared" si="1"/>
        <v>87342.009602538659</v>
      </c>
      <c r="G32" s="20"/>
      <c r="H32" s="24">
        <f t="shared" si="4"/>
        <v>0</v>
      </c>
      <c r="I32" s="24">
        <f t="shared" si="5"/>
        <v>3288.5603903589213</v>
      </c>
      <c r="J32" s="106"/>
      <c r="K32" s="25">
        <f t="shared" si="2"/>
        <v>3288.5603903589213</v>
      </c>
      <c r="L32" s="27">
        <f t="shared" si="6"/>
        <v>0.13911124784625004</v>
      </c>
      <c r="M32" s="26">
        <f t="shared" si="7"/>
        <v>1965.1952160571198</v>
      </c>
      <c r="N32" s="26">
        <f t="shared" si="8"/>
        <v>838.48329218437107</v>
      </c>
      <c r="O32" s="32">
        <f>IF(Hypothèses!$C$11="oui",0,((L32*F32)-K32)+(M32+N32))</f>
        <v>11665.374063090876</v>
      </c>
      <c r="P32" s="28"/>
      <c r="Q32" s="29"/>
      <c r="R32" s="30">
        <f t="shared" si="3"/>
        <v>173332.5330938831</v>
      </c>
    </row>
    <row r="33" spans="2:18" ht="17.25" customHeight="1" outlineLevel="1">
      <c r="B33" s="38">
        <v>29</v>
      </c>
      <c r="C33" s="18">
        <f t="shared" si="0"/>
        <v>100000</v>
      </c>
      <c r="D33" s="21">
        <f t="shared" si="9"/>
        <v>5.0000000000000001E-3</v>
      </c>
      <c r="E33" s="20">
        <f t="shared" si="10"/>
        <v>86905.299554525962</v>
      </c>
      <c r="F33" s="20">
        <f t="shared" si="1"/>
        <v>86905.299554525962</v>
      </c>
      <c r="G33" s="20"/>
      <c r="H33" s="24">
        <f t="shared" si="4"/>
        <v>0</v>
      </c>
      <c r="I33" s="24">
        <f t="shared" si="5"/>
        <v>3337.8887962143049</v>
      </c>
      <c r="J33" s="106"/>
      <c r="K33" s="25">
        <f t="shared" si="2"/>
        <v>3337.8887962143049</v>
      </c>
      <c r="L33" s="27">
        <f t="shared" si="6"/>
        <v>0.14189347280317505</v>
      </c>
      <c r="M33" s="26">
        <f t="shared" si="7"/>
        <v>1955.369239976834</v>
      </c>
      <c r="N33" s="26">
        <f t="shared" si="8"/>
        <v>834.29087572344918</v>
      </c>
      <c r="O33" s="32">
        <f>IF(Hypothèses!$C$11="oui",0,((L33*F33)-K33)+(M33+N33))</f>
        <v>11783.066078277887</v>
      </c>
      <c r="P33" s="28"/>
      <c r="Q33" s="29"/>
      <c r="R33" s="30">
        <f t="shared" si="3"/>
        <v>185115.59917216099</v>
      </c>
    </row>
    <row r="34" spans="2:18" ht="17.25" customHeight="1" outlineLevel="1" thickBot="1">
      <c r="B34" s="39">
        <v>30</v>
      </c>
      <c r="C34" s="18">
        <f t="shared" si="0"/>
        <v>100000</v>
      </c>
      <c r="D34" s="22">
        <f t="shared" si="9"/>
        <v>5.0000000000000001E-3</v>
      </c>
      <c r="E34" s="23">
        <f t="shared" si="10"/>
        <v>86470.773056753329</v>
      </c>
      <c r="F34" s="20">
        <f t="shared" si="1"/>
        <v>86470.773056753329</v>
      </c>
      <c r="G34" s="20"/>
      <c r="H34" s="24">
        <f t="shared" si="4"/>
        <v>0</v>
      </c>
      <c r="I34" s="24">
        <f t="shared" si="5"/>
        <v>3387.9571281575195</v>
      </c>
      <c r="J34" s="106"/>
      <c r="K34" s="25">
        <f t="shared" si="2"/>
        <v>3387.9571281575195</v>
      </c>
      <c r="L34" s="27">
        <f t="shared" si="6"/>
        <v>0.14473134225923856</v>
      </c>
      <c r="M34" s="26">
        <f t="shared" si="7"/>
        <v>1945.5923937769498</v>
      </c>
      <c r="N34" s="26">
        <f t="shared" si="8"/>
        <v>830.11942134483184</v>
      </c>
      <c r="O34" s="32">
        <f>IF(Hypothèses!$C$11="oui",0,((L34*F34)-K34)+(M34+N34))</f>
        <v>11902.785737662172</v>
      </c>
      <c r="P34" s="31"/>
      <c r="Q34" s="29"/>
      <c r="R34" s="30">
        <f t="shared" si="3"/>
        <v>197018.38490982316</v>
      </c>
    </row>
    <row r="35" spans="2:18" s="17" customFormat="1" ht="27" customHeight="1" thickBot="1">
      <c r="B35" s="41" t="s">
        <v>52</v>
      </c>
      <c r="C35" s="15"/>
      <c r="D35" s="16"/>
      <c r="E35" s="43">
        <f t="shared" ref="E35:K35" si="12">SUM(E5:E34)</f>
        <v>2792316.1617060769</v>
      </c>
      <c r="F35" s="43">
        <f t="shared" si="12"/>
        <v>2792316.1617060769</v>
      </c>
      <c r="G35" s="44">
        <f t="shared" si="12"/>
        <v>0</v>
      </c>
      <c r="H35" s="45">
        <f t="shared" si="12"/>
        <v>0</v>
      </c>
      <c r="I35" s="45">
        <f t="shared" si="12"/>
        <v>82585.099005325523</v>
      </c>
      <c r="J35" s="46">
        <f t="shared" si="12"/>
        <v>0</v>
      </c>
      <c r="K35" s="46">
        <f t="shared" si="12"/>
        <v>82585.099005325523</v>
      </c>
      <c r="L35" s="47">
        <f>(SUM(L5:L34))/30</f>
        <v>0.11020994850737222</v>
      </c>
      <c r="M35" s="46">
        <f>SUM(M5:M34)</f>
        <v>62827.113638386712</v>
      </c>
      <c r="N35" s="46">
        <f>SUM(N5:N34)</f>
        <v>26806.23515237834</v>
      </c>
      <c r="O35" s="46">
        <f>SUM(O5:O34)</f>
        <v>312518.38490982325</v>
      </c>
      <c r="P35" s="47">
        <f>SUM(P5:P34)/20</f>
        <v>0</v>
      </c>
      <c r="Q35" s="46">
        <f>SUM(Q5:Q34)</f>
        <v>0</v>
      </c>
      <c r="R35" s="111">
        <f>R34</f>
        <v>197018.38490982316</v>
      </c>
    </row>
    <row r="36" spans="2:18">
      <c r="E36" s="42" t="s">
        <v>43</v>
      </c>
      <c r="F36" s="42" t="s">
        <v>43</v>
      </c>
      <c r="G36" s="42" t="s">
        <v>43</v>
      </c>
      <c r="R36" s="7"/>
    </row>
    <row r="37" spans="2:18">
      <c r="R37" s="7"/>
    </row>
    <row r="38" spans="2:18">
      <c r="R38" s="7"/>
    </row>
  </sheetData>
  <phoneticPr fontId="1" type="noConversion"/>
  <conditionalFormatting sqref="K5:K34 Q5:Q34">
    <cfRule type="cellIs" dxfId="15" priority="15" stopIfTrue="1" operator="greaterThan">
      <formula>1</formula>
    </cfRule>
  </conditionalFormatting>
  <conditionalFormatting sqref="O5:O34">
    <cfRule type="cellIs" dxfId="14" priority="17" stopIfTrue="1" operator="greaterThan">
      <formula>1</formula>
    </cfRule>
    <cfRule type="cellIs" dxfId="13" priority="18" stopIfTrue="1" operator="lessThan">
      <formula>1</formula>
    </cfRule>
  </conditionalFormatting>
  <conditionalFormatting sqref="O5:O34">
    <cfRule type="cellIs" dxfId="12" priority="14" operator="lessThan">
      <formula>0</formula>
    </cfRule>
  </conditionalFormatting>
  <conditionalFormatting sqref="O5:O34">
    <cfRule type="cellIs" dxfId="11" priority="13" operator="greaterThan">
      <formula>0</formula>
    </cfRule>
  </conditionalFormatting>
  <conditionalFormatting sqref="R5:R35">
    <cfRule type="cellIs" dxfId="10" priority="10" operator="lessThan">
      <formula>0</formula>
    </cfRule>
    <cfRule type="cellIs" dxfId="9" priority="11" operator="greaterThan">
      <formula>0</formula>
    </cfRule>
  </conditionalFormatting>
  <conditionalFormatting sqref="O5:O34">
    <cfRule type="cellIs" dxfId="8" priority="9" operator="greaterThan">
      <formula>0</formula>
    </cfRule>
  </conditionalFormatting>
  <conditionalFormatting sqref="O5:O34">
    <cfRule type="cellIs" dxfId="7" priority="8" operator="lessThan">
      <formula>0</formula>
    </cfRule>
  </conditionalFormatting>
  <conditionalFormatting sqref="R5:R35">
    <cfRule type="cellIs" dxfId="6" priority="5" operator="greaterThan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Q5:Q34">
    <cfRule type="cellIs" dxfId="3" priority="2" operator="equal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conditionalFormatting sqref="O5:O3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2:G12"/>
  <sheetViews>
    <sheetView workbookViewId="0">
      <selection activeCell="C12" sqref="C12"/>
    </sheetView>
  </sheetViews>
  <sheetFormatPr baseColWidth="10" defaultRowHeight="15"/>
  <cols>
    <col min="2" max="2" width="30" customWidth="1"/>
    <col min="3" max="3" width="24" customWidth="1"/>
  </cols>
  <sheetData>
    <row r="2" spans="2:7">
      <c r="B2" t="s">
        <v>1</v>
      </c>
      <c r="C2" s="1">
        <f>Hypothèses!F10*(1-Hypothèses!C16)</f>
        <v>0</v>
      </c>
      <c r="F2" s="1"/>
      <c r="G2" s="1"/>
    </row>
    <row r="3" spans="2:7">
      <c r="B3" t="s">
        <v>2</v>
      </c>
      <c r="C3" s="2">
        <f>interet</f>
        <v>0.01</v>
      </c>
      <c r="F3" s="1"/>
      <c r="G3" s="1"/>
    </row>
    <row r="4" spans="2:7">
      <c r="B4" t="s">
        <v>3</v>
      </c>
      <c r="C4" s="1">
        <f>dureepret*12</f>
        <v>120</v>
      </c>
      <c r="F4" s="1"/>
      <c r="G4" s="1"/>
    </row>
    <row r="5" spans="2:7">
      <c r="B5" t="s">
        <v>4</v>
      </c>
      <c r="C5" s="1">
        <f>(C2*Taux/12*(1+Taux/12)^C4)/(((1+Taux/12)^C4)-1)</f>
        <v>0</v>
      </c>
      <c r="F5" s="1"/>
      <c r="G5" s="1"/>
    </row>
    <row r="6" spans="2:7">
      <c r="B6" t="s">
        <v>5</v>
      </c>
      <c r="C6" s="3">
        <v>0</v>
      </c>
      <c r="F6" s="1"/>
      <c r="G6" s="1"/>
    </row>
    <row r="7" spans="2:7">
      <c r="B7" t="s">
        <v>6</v>
      </c>
      <c r="C7" s="1">
        <f>C2*C6/12</f>
        <v>0</v>
      </c>
      <c r="F7" s="1"/>
      <c r="G7" s="1"/>
    </row>
    <row r="8" spans="2:7">
      <c r="B8" t="s">
        <v>7</v>
      </c>
      <c r="C8" s="1">
        <f>C5+C7</f>
        <v>0</v>
      </c>
      <c r="F8" s="1"/>
      <c r="G8" s="1"/>
    </row>
    <row r="9" spans="2:7">
      <c r="B9" s="4" t="s">
        <v>8</v>
      </c>
      <c r="C9" s="1">
        <v>0</v>
      </c>
      <c r="D9" s="1"/>
      <c r="E9" s="1"/>
      <c r="F9" s="1"/>
      <c r="G9" s="1"/>
    </row>
    <row r="10" spans="2:7">
      <c r="B10" s="4" t="s">
        <v>9</v>
      </c>
      <c r="C10" s="1">
        <f>((C8*C4)+C9)-C2</f>
        <v>0</v>
      </c>
      <c r="D10" s="1"/>
      <c r="E10" s="1"/>
      <c r="F10" s="1"/>
      <c r="G10" s="1"/>
    </row>
    <row r="11" spans="2:7">
      <c r="B11" t="s">
        <v>24</v>
      </c>
      <c r="C11" s="1">
        <f>C2+C10</f>
        <v>0</v>
      </c>
    </row>
    <row r="12" spans="2:7">
      <c r="B12" t="s">
        <v>57</v>
      </c>
      <c r="C12" s="105">
        <f>C5*12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2"/>
  <sheetViews>
    <sheetView workbookViewId="0">
      <selection activeCell="G24" sqref="G24"/>
    </sheetView>
  </sheetViews>
  <sheetFormatPr baseColWidth="10" defaultRowHeight="15"/>
  <cols>
    <col min="2" max="2" width="19.42578125" customWidth="1"/>
  </cols>
  <sheetData>
    <row r="3" spans="1:2">
      <c r="A3">
        <v>1</v>
      </c>
      <c r="B3">
        <f>POWER(1+Hypothèses!$C$24,-A3)</f>
        <v>0.98039215686274506</v>
      </c>
    </row>
    <row r="4" spans="1:2">
      <c r="A4">
        <v>2</v>
      </c>
      <c r="B4">
        <f>POWER(1+Hypothèses!$C$24,-A4)</f>
        <v>0.96116878123798544</v>
      </c>
    </row>
    <row r="5" spans="1:2">
      <c r="A5">
        <v>3</v>
      </c>
      <c r="B5">
        <f>POWER(1+Hypothèses!$C$24,-A5)</f>
        <v>0.94232233454704462</v>
      </c>
    </row>
    <row r="6" spans="1:2">
      <c r="A6">
        <v>4</v>
      </c>
      <c r="B6">
        <f>POWER(1+Hypothèses!$C$24,-A6)</f>
        <v>0.9238454260265142</v>
      </c>
    </row>
    <row r="7" spans="1:2">
      <c r="A7">
        <v>5</v>
      </c>
      <c r="B7">
        <f>POWER(1+Hypothèses!$C$24,-A7)</f>
        <v>0.90573080982991594</v>
      </c>
    </row>
    <row r="8" spans="1:2">
      <c r="A8">
        <v>6</v>
      </c>
      <c r="B8">
        <f>POWER(1+Hypothèses!$C$24,-A8)</f>
        <v>0.88797138218619198</v>
      </c>
    </row>
    <row r="9" spans="1:2">
      <c r="A9">
        <v>7</v>
      </c>
      <c r="B9">
        <f>POWER(1+Hypothèses!$C$24,-A9)</f>
        <v>0.87056017861391388</v>
      </c>
    </row>
    <row r="10" spans="1:2">
      <c r="A10">
        <v>8</v>
      </c>
      <c r="B10">
        <f>POWER(1+Hypothèses!$C$24,-A10)</f>
        <v>0.85349037119011162</v>
      </c>
    </row>
    <row r="11" spans="1:2">
      <c r="A11">
        <v>9</v>
      </c>
      <c r="B11">
        <f>POWER(1+Hypothèses!$C$24,-A11)</f>
        <v>0.83675526587265847</v>
      </c>
    </row>
    <row r="12" spans="1:2">
      <c r="A12">
        <v>10</v>
      </c>
      <c r="B12">
        <f>POWER(1+Hypothèses!$C$24,-A12)</f>
        <v>0.82034829987515534</v>
      </c>
    </row>
    <row r="13" spans="1:2">
      <c r="A13">
        <v>11</v>
      </c>
      <c r="B13">
        <f>POWER(1+Hypothèses!$C$24,-A13)</f>
        <v>0.80426303909328967</v>
      </c>
    </row>
    <row r="14" spans="1:2">
      <c r="A14">
        <v>12</v>
      </c>
      <c r="B14">
        <f>POWER(1+Hypothèses!$C$24,-A14)</f>
        <v>0.78849317558165644</v>
      </c>
    </row>
    <row r="15" spans="1:2">
      <c r="A15">
        <v>13</v>
      </c>
      <c r="B15">
        <f>POWER(1+Hypothèses!$C$24,-A15)</f>
        <v>0.77303252508005538</v>
      </c>
    </row>
    <row r="16" spans="1:2">
      <c r="A16">
        <v>14</v>
      </c>
      <c r="B16">
        <f>POWER(1+Hypothèses!$C$24,-A16)</f>
        <v>0.75787502458828948</v>
      </c>
    </row>
    <row r="17" spans="1:2">
      <c r="A17">
        <v>15</v>
      </c>
      <c r="B17">
        <f>POWER(1+Hypothèses!$C$24,-A17)</f>
        <v>0.74301472998851925</v>
      </c>
    </row>
    <row r="18" spans="1:2">
      <c r="A18">
        <v>16</v>
      </c>
      <c r="B18">
        <f>POWER(1+Hypothèses!$C$24,-A18)</f>
        <v>0.72844581371423445</v>
      </c>
    </row>
    <row r="19" spans="1:2">
      <c r="A19">
        <v>17</v>
      </c>
      <c r="B19">
        <f>POWER(1+Hypothèses!$C$24,-A19)</f>
        <v>0.7141625624649357</v>
      </c>
    </row>
    <row r="20" spans="1:2">
      <c r="A20">
        <v>18</v>
      </c>
      <c r="B20">
        <f>POWER(1+Hypothèses!$C$24,-A20)</f>
        <v>0.7001593749656233</v>
      </c>
    </row>
    <row r="21" spans="1:2">
      <c r="A21">
        <v>19</v>
      </c>
      <c r="B21">
        <f>POWER(1+Hypothèses!$C$24,-A21)</f>
        <v>0.68643075977021895</v>
      </c>
    </row>
    <row r="22" spans="1:2">
      <c r="A22">
        <v>20</v>
      </c>
      <c r="B22">
        <f>POWER(1+Hypothèses!$C$24,-A22)</f>
        <v>0.67297133310805779</v>
      </c>
    </row>
    <row r="23" spans="1:2">
      <c r="A23">
        <v>21</v>
      </c>
      <c r="B23">
        <f>POWER(1+Hypothèses!$C$24,-A23)</f>
        <v>0.65977581677260566</v>
      </c>
    </row>
    <row r="24" spans="1:2">
      <c r="A24">
        <v>22</v>
      </c>
      <c r="B24">
        <f>POWER(1+Hypothèses!$C$24,-A24)</f>
        <v>0.64683903605157411</v>
      </c>
    </row>
    <row r="25" spans="1:2">
      <c r="A25">
        <v>23</v>
      </c>
      <c r="B25">
        <f>POWER(1+Hypothèses!$C$24,-A25)</f>
        <v>0.63415591769762181</v>
      </c>
    </row>
    <row r="26" spans="1:2">
      <c r="A26">
        <v>24</v>
      </c>
      <c r="B26">
        <f>POWER(1+Hypothèses!$C$24,-A26)</f>
        <v>0.62172148793884485</v>
      </c>
    </row>
    <row r="27" spans="1:2">
      <c r="A27">
        <v>25</v>
      </c>
      <c r="B27">
        <f>POWER(1+Hypothèses!$C$24,-A27)</f>
        <v>0.60953087052827937</v>
      </c>
    </row>
    <row r="28" spans="1:2">
      <c r="A28">
        <v>26</v>
      </c>
      <c r="B28">
        <f>POWER(1+Hypothèses!$C$24,-A28)</f>
        <v>0.59757928483164635</v>
      </c>
    </row>
    <row r="29" spans="1:2">
      <c r="A29">
        <v>27</v>
      </c>
      <c r="B29">
        <f>POWER(1+Hypothèses!$C$24,-A29)</f>
        <v>0.58586204395259456</v>
      </c>
    </row>
    <row r="30" spans="1:2">
      <c r="A30">
        <v>28</v>
      </c>
      <c r="B30">
        <f>POWER(1+Hypothèses!$C$24,-A30)</f>
        <v>0.57437455289470041</v>
      </c>
    </row>
    <row r="31" spans="1:2">
      <c r="A31">
        <v>29</v>
      </c>
      <c r="B31">
        <f>POWER(1+Hypothèses!$C$24,-A31)</f>
        <v>0.56311230675951029</v>
      </c>
    </row>
    <row r="32" spans="1:2">
      <c r="A32">
        <v>30</v>
      </c>
      <c r="B32">
        <f>POWER(1+Hypothèses!$C$24,-A32)</f>
        <v>0.55207088897991197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48</vt:i4>
      </vt:variant>
    </vt:vector>
  </HeadingPairs>
  <TitlesOfParts>
    <vt:vector size="52" baseType="lpstr">
      <vt:lpstr>Hypothèses</vt:lpstr>
      <vt:lpstr>Tresorerie autoconsomat</vt:lpstr>
      <vt:lpstr>Calcul intérêts </vt:lpstr>
      <vt:lpstr>Actualisation</vt:lpstr>
      <vt:lpstr>assurances</vt:lpstr>
      <vt:lpstr>autoconso</vt:lpstr>
      <vt:lpstr>autofinacement</vt:lpstr>
      <vt:lpstr>coutderevientkwh</vt:lpstr>
      <vt:lpstr>coutderevientkwhreseau30ans</vt:lpstr>
      <vt:lpstr>coutganratieonduleur</vt:lpstr>
      <vt:lpstr>coutinstallation</vt:lpstr>
      <vt:lpstr>coutkwc</vt:lpstr>
      <vt:lpstr>coutraccordement</vt:lpstr>
      <vt:lpstr>couttotal</vt:lpstr>
      <vt:lpstr>couttotalkwhautoconsomme</vt:lpstr>
      <vt:lpstr>dureepret</vt:lpstr>
      <vt:lpstr>economieCSPE</vt:lpstr>
      <vt:lpstr>economieTCFE</vt:lpstr>
      <vt:lpstr>fluxdetresorerie</vt:lpstr>
      <vt:lpstr>garantieonduleur</vt:lpstr>
      <vt:lpstr>inflation</vt:lpstr>
      <vt:lpstr>inflationelec</vt:lpstr>
      <vt:lpstr>interet</vt:lpstr>
      <vt:lpstr>kwhreseau</vt:lpstr>
      <vt:lpstr>locationcompteur</vt:lpstr>
      <vt:lpstr>maintenance</vt:lpstr>
      <vt:lpstr>mensualité</vt:lpstr>
      <vt:lpstr>montantassurance</vt:lpstr>
      <vt:lpstr>montantassurance30ans</vt:lpstr>
      <vt:lpstr>montantinteret</vt:lpstr>
      <vt:lpstr>montantmaintenance</vt:lpstr>
      <vt:lpstr>montantsubventiongenerateur</vt:lpstr>
      <vt:lpstr>production</vt:lpstr>
      <vt:lpstr>productionautoconsomme</vt:lpstr>
      <vt:lpstr>productionvalorisable</vt:lpstr>
      <vt:lpstr>productionvendue</vt:lpstr>
      <vt:lpstr>Puissance</vt:lpstr>
      <vt:lpstr>recetteventesurplus</vt:lpstr>
      <vt:lpstr>stockage</vt:lpstr>
      <vt:lpstr>tarifachat</vt:lpstr>
      <vt:lpstr>Taux</vt:lpstr>
      <vt:lpstr>totalannualités</vt:lpstr>
      <vt:lpstr>totalassurance</vt:lpstr>
      <vt:lpstr>totalfluxdetresorerie</vt:lpstr>
      <vt:lpstr>totalfrais</vt:lpstr>
      <vt:lpstr>totalinvestissementavecsub</vt:lpstr>
      <vt:lpstr>totalmaintenance</vt:lpstr>
      <vt:lpstr>totalproduction</vt:lpstr>
      <vt:lpstr>totalproductionautoconsomme</vt:lpstr>
      <vt:lpstr>totalproductionvendue</vt:lpstr>
      <vt:lpstr>totalventesurplus</vt:lpstr>
      <vt:lpstr>vente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2019-07-09T09:42:09Z</dcterms:created>
  <dcterms:modified xsi:type="dcterms:W3CDTF">2019-07-09T09:52:51Z</dcterms:modified>
</cp:coreProperties>
</file>